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harts/chart3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9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0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1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2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3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4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duar\Documents\Pastas\EcoMadeira\Site - EcoMadeira\EcoMadeira\docs\file_aux\"/>
    </mc:Choice>
  </mc:AlternateContent>
  <xr:revisionPtr revIDLastSave="0" documentId="8_{081DE864-83D1-4502-AE5A-D768616F3086}" xr6:coauthVersionLast="47" xr6:coauthVersionMax="47" xr10:uidLastSave="{00000000-0000-0000-0000-000000000000}"/>
  <bookViews>
    <workbookView xWindow="-108" yWindow="-108" windowWidth="23256" windowHeight="12456" tabRatio="854" xr2:uid="{186D8D89-75A9-47CD-BB0C-2476A2469FCC}"/>
  </bookViews>
  <sheets>
    <sheet name="HOME" sheetId="71" r:id="rId1"/>
    <sheet name="DSB" sheetId="29" r:id="rId2"/>
    <sheet name="RST" sheetId="30" r:id="rId3"/>
    <sheet name="CRG" sheetId="31" r:id="rId4"/>
    <sheet name="CMB" sheetId="32" r:id="rId5"/>
    <sheet name="VRF" sheetId="33" r:id="rId6"/>
    <sheet name="LGC" sheetId="69" r:id="rId7"/>
    <sheet name="AXA" sheetId="34" r:id="rId8"/>
    <sheet name="AXB" sheetId="35" r:id="rId9"/>
    <sheet name="AXC" sheetId="36" r:id="rId10"/>
    <sheet name="AXD" sheetId="37" r:id="rId11"/>
    <sheet name="LGC A" sheetId="73" r:id="rId12"/>
  </sheets>
  <definedNames>
    <definedName name="Imagem" localSheetId="0">HOME!$H$14</definedName>
    <definedName name="Imagem">#REF!</definedName>
    <definedName name="solver_adj" localSheetId="5" hidden="1">VRF!$AJ$22</definedName>
    <definedName name="solver_cvg" localSheetId="1" hidden="1">0.0001</definedName>
    <definedName name="solver_cvg" localSheetId="5" hidden="1">0.0001</definedName>
    <definedName name="solver_drv" localSheetId="1" hidden="1">1</definedName>
    <definedName name="solver_drv" localSheetId="5" hidden="1">1</definedName>
    <definedName name="solver_eng" localSheetId="10" hidden="1">1</definedName>
    <definedName name="solver_eng" localSheetId="1" hidden="1">1</definedName>
    <definedName name="solver_eng" localSheetId="5" hidden="1">1</definedName>
    <definedName name="solver_est" localSheetId="1" hidden="1">1</definedName>
    <definedName name="solver_est" localSheetId="5" hidden="1">1</definedName>
    <definedName name="solver_itr" localSheetId="1" hidden="1">2147483647</definedName>
    <definedName name="solver_itr" localSheetId="5" hidden="1">2147483647</definedName>
    <definedName name="solver_mip" localSheetId="1" hidden="1">2147483647</definedName>
    <definedName name="solver_mip" localSheetId="5" hidden="1">2147483647</definedName>
    <definedName name="solver_mni" localSheetId="1" hidden="1">30</definedName>
    <definedName name="solver_mni" localSheetId="5" hidden="1">30</definedName>
    <definedName name="solver_mrt" localSheetId="1" hidden="1">0.075</definedName>
    <definedName name="solver_mrt" localSheetId="5" hidden="1">0.075</definedName>
    <definedName name="solver_msl" localSheetId="1" hidden="1">2</definedName>
    <definedName name="solver_msl" localSheetId="5" hidden="1">2</definedName>
    <definedName name="solver_neg" localSheetId="10" hidden="1">1</definedName>
    <definedName name="solver_neg" localSheetId="1" hidden="1">1</definedName>
    <definedName name="solver_neg" localSheetId="5" hidden="1">1</definedName>
    <definedName name="solver_nod" localSheetId="1" hidden="1">2147483647</definedName>
    <definedName name="solver_nod" localSheetId="5" hidden="1">2147483647</definedName>
    <definedName name="solver_num" localSheetId="10" hidden="1">0</definedName>
    <definedName name="solver_num" localSheetId="1" hidden="1">0</definedName>
    <definedName name="solver_num" localSheetId="5" hidden="1">0</definedName>
    <definedName name="solver_nwt" localSheetId="1" hidden="1">1</definedName>
    <definedName name="solver_nwt" localSheetId="5" hidden="1">1</definedName>
    <definedName name="solver_opt" localSheetId="5" hidden="1">VRF!$AJ$25</definedName>
    <definedName name="solver_pre" localSheetId="1" hidden="1">0.000001</definedName>
    <definedName name="solver_pre" localSheetId="5" hidden="1">0.000001</definedName>
    <definedName name="solver_rbv" localSheetId="1" hidden="1">1</definedName>
    <definedName name="solver_rbv" localSheetId="5" hidden="1">1</definedName>
    <definedName name="solver_rlx" localSheetId="1" hidden="1">2</definedName>
    <definedName name="solver_rlx" localSheetId="5" hidden="1">2</definedName>
    <definedName name="solver_rsd" localSheetId="1" hidden="1">0</definedName>
    <definedName name="solver_rsd" localSheetId="5" hidden="1">0</definedName>
    <definedName name="solver_scl" localSheetId="1" hidden="1">1</definedName>
    <definedName name="solver_scl" localSheetId="5" hidden="1">1</definedName>
    <definedName name="solver_sho" localSheetId="1" hidden="1">2</definedName>
    <definedName name="solver_sho" localSheetId="5" hidden="1">2</definedName>
    <definedName name="solver_ssz" localSheetId="1" hidden="1">100</definedName>
    <definedName name="solver_ssz" localSheetId="5" hidden="1">100</definedName>
    <definedName name="solver_tim" localSheetId="1" hidden="1">2147483647</definedName>
    <definedName name="solver_tim" localSheetId="5" hidden="1">2147483647</definedName>
    <definedName name="solver_tol" localSheetId="1" hidden="1">0.01</definedName>
    <definedName name="solver_tol" localSheetId="5" hidden="1">0.01</definedName>
    <definedName name="solver_typ" localSheetId="10" hidden="1">1</definedName>
    <definedName name="solver_typ" localSheetId="1" hidden="1">1</definedName>
    <definedName name="solver_typ" localSheetId="5" hidden="1">3</definedName>
    <definedName name="solver_val" localSheetId="10" hidden="1">0</definedName>
    <definedName name="solver_val" localSheetId="1" hidden="1">0</definedName>
    <definedName name="solver_val" localSheetId="5" hidden="1">0</definedName>
    <definedName name="solver_ver" localSheetId="10" hidden="1">3</definedName>
    <definedName name="solver_ver" localSheetId="1" hidden="1">3</definedName>
    <definedName name="solver_ver" localSheetId="5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37" l="1"/>
  <c r="Y14" i="37" s="1"/>
  <c r="Y28" i="37"/>
  <c r="AP5" i="35"/>
  <c r="C46" i="29" l="1"/>
  <c r="AP17" i="35"/>
  <c r="C54" i="29"/>
  <c r="C56" i="29"/>
  <c r="AP10" i="35" l="1"/>
  <c r="AP14" i="35"/>
  <c r="AP7" i="35"/>
  <c r="AP11" i="35"/>
  <c r="AP15" i="35"/>
  <c r="AP6" i="35"/>
  <c r="AP8" i="35"/>
  <c r="AP12" i="35"/>
  <c r="AP16" i="35"/>
  <c r="AP9" i="35"/>
  <c r="AP13" i="35"/>
  <c r="I49" i="73"/>
  <c r="C49" i="73"/>
  <c r="I48" i="73"/>
  <c r="C48" i="73"/>
  <c r="I43" i="73"/>
  <c r="C43" i="73"/>
  <c r="I39" i="73"/>
  <c r="C39" i="73"/>
  <c r="I24" i="73"/>
  <c r="C24" i="73"/>
  <c r="I23" i="73"/>
  <c r="C23" i="73"/>
  <c r="I18" i="73"/>
  <c r="C18" i="73"/>
  <c r="I14" i="73"/>
  <c r="I29" i="73" s="1"/>
  <c r="I30" i="73" s="1"/>
  <c r="I32" i="73" s="1"/>
  <c r="C14" i="73"/>
  <c r="C29" i="73" s="1"/>
  <c r="C30" i="73" s="1"/>
  <c r="C32" i="73" s="1"/>
  <c r="L52" i="37"/>
  <c r="L53" i="37"/>
  <c r="L54" i="37"/>
  <c r="L51" i="37"/>
  <c r="C44" i="73" l="1"/>
  <c r="C46" i="73" s="1"/>
  <c r="C47" i="73" s="1"/>
  <c r="C51" i="73" s="1"/>
  <c r="I19" i="73"/>
  <c r="I44" i="73"/>
  <c r="I46" i="73" s="1"/>
  <c r="I47" i="73" s="1"/>
  <c r="C50" i="73"/>
  <c r="C19" i="73"/>
  <c r="C21" i="73"/>
  <c r="C22" i="73" s="1"/>
  <c r="C26" i="73" s="1"/>
  <c r="I21" i="73"/>
  <c r="I22" i="73" s="1"/>
  <c r="I26" i="73" s="1"/>
  <c r="I51" i="73" l="1"/>
  <c r="I50" i="73"/>
  <c r="C25" i="73"/>
  <c r="I25" i="73"/>
  <c r="C10" i="30" l="1"/>
  <c r="P26" i="37"/>
  <c r="P18" i="37"/>
  <c r="G54" i="29" l="1"/>
  <c r="B75" i="29"/>
  <c r="B73" i="29"/>
  <c r="B69" i="29"/>
  <c r="B71" i="29"/>
  <c r="B67" i="29"/>
  <c r="I23" i="69" l="1"/>
  <c r="I22" i="69"/>
  <c r="H52" i="37" s="1"/>
  <c r="M52" i="37" s="1"/>
  <c r="I47" i="69"/>
  <c r="I46" i="69"/>
  <c r="H54" i="37" s="1"/>
  <c r="M54" i="37" s="1"/>
  <c r="I15" i="69"/>
  <c r="C47" i="69"/>
  <c r="C46" i="69"/>
  <c r="H53" i="37" s="1"/>
  <c r="M53" i="37" s="1"/>
  <c r="C39" i="69"/>
  <c r="I39" i="69"/>
  <c r="C23" i="69"/>
  <c r="C22" i="69"/>
  <c r="H51" i="37" s="1"/>
  <c r="M51" i="37" s="1"/>
  <c r="C15" i="69"/>
  <c r="M40" i="37"/>
  <c r="L39" i="37"/>
  <c r="L40" i="37"/>
  <c r="L38" i="37"/>
  <c r="M39" i="37" l="1"/>
  <c r="M38" i="37"/>
  <c r="L14" i="37"/>
  <c r="M14" i="37"/>
  <c r="P14" i="37"/>
  <c r="Y41" i="36"/>
  <c r="Z42" i="36" s="1"/>
  <c r="AB68" i="33" s="1"/>
  <c r="P35" i="37" l="1"/>
  <c r="L35" i="37"/>
  <c r="N8" i="36"/>
  <c r="E140" i="32"/>
  <c r="M17" i="31"/>
  <c r="M18" i="31"/>
  <c r="M16" i="31"/>
  <c r="I46" i="29"/>
  <c r="Z15" i="36" s="1"/>
  <c r="AI15" i="36" s="1"/>
  <c r="L20" i="36" s="1"/>
  <c r="D20" i="31"/>
  <c r="D11" i="31" l="1"/>
  <c r="N218" i="32"/>
  <c r="M218" i="32"/>
  <c r="C20" i="36"/>
  <c r="Y21" i="37"/>
  <c r="Z20" i="37" s="1"/>
  <c r="O218" i="32" l="1"/>
  <c r="U54" i="33"/>
  <c r="AC16" i="33"/>
  <c r="AD77" i="33"/>
  <c r="AV116" i="35"/>
  <c r="I42" i="37"/>
  <c r="P37" i="37"/>
  <c r="L37" i="37"/>
  <c r="P36" i="37"/>
  <c r="L36" i="37"/>
  <c r="P34" i="37"/>
  <c r="L34" i="37"/>
  <c r="P33" i="37"/>
  <c r="M33" i="37"/>
  <c r="L33" i="37"/>
  <c r="P32" i="37"/>
  <c r="M32" i="37"/>
  <c r="L32" i="37"/>
  <c r="P31" i="37"/>
  <c r="M31" i="37"/>
  <c r="L31" i="37"/>
  <c r="P30" i="37"/>
  <c r="L30" i="37"/>
  <c r="P29" i="37"/>
  <c r="L29" i="37"/>
  <c r="I27" i="37"/>
  <c r="L26" i="37"/>
  <c r="P25" i="37"/>
  <c r="L25" i="37"/>
  <c r="P24" i="37"/>
  <c r="L24" i="37"/>
  <c r="AA22" i="37"/>
  <c r="AB22" i="37" s="1"/>
  <c r="P23" i="37"/>
  <c r="L23" i="37"/>
  <c r="P22" i="37"/>
  <c r="L22" i="37"/>
  <c r="AA20" i="37"/>
  <c r="AB43" i="37" s="1"/>
  <c r="P21" i="37"/>
  <c r="M21" i="37"/>
  <c r="L21" i="37"/>
  <c r="I19" i="37"/>
  <c r="L18" i="37"/>
  <c r="P17" i="37"/>
  <c r="L17" i="37"/>
  <c r="P16" i="37"/>
  <c r="L16" i="37"/>
  <c r="P15" i="37"/>
  <c r="L15" i="37"/>
  <c r="P13" i="37"/>
  <c r="L13" i="37"/>
  <c r="P12" i="37"/>
  <c r="L12" i="37"/>
  <c r="L9" i="37"/>
  <c r="L8" i="37"/>
  <c r="L7" i="37"/>
  <c r="M6" i="37"/>
  <c r="L6" i="37"/>
  <c r="Y29" i="36"/>
  <c r="Z30" i="36" s="1"/>
  <c r="AB37" i="33" s="1"/>
  <c r="AJ22" i="36"/>
  <c r="AA23" i="36"/>
  <c r="M28" i="36"/>
  <c r="D27" i="36"/>
  <c r="AJ21" i="36"/>
  <c r="AA22" i="36"/>
  <c r="M27" i="36"/>
  <c r="D26" i="36"/>
  <c r="L14" i="36"/>
  <c r="N91" i="35"/>
  <c r="L96" i="35" s="1"/>
  <c r="J91" i="35"/>
  <c r="H96" i="35" s="1"/>
  <c r="C22" i="34"/>
  <c r="C10" i="34"/>
  <c r="C7" i="34"/>
  <c r="C6" i="34"/>
  <c r="E18" i="33"/>
  <c r="J67" i="32"/>
  <c r="J25" i="32"/>
  <c r="N21" i="31"/>
  <c r="N11" i="31"/>
  <c r="E14" i="30"/>
  <c r="F14" i="30" s="1"/>
  <c r="D9" i="30"/>
  <c r="N7" i="30"/>
  <c r="G17" i="31"/>
  <c r="C47" i="29"/>
  <c r="C48" i="29"/>
  <c r="I48" i="29"/>
  <c r="I47" i="29"/>
  <c r="U53" i="33"/>
  <c r="M9" i="33"/>
  <c r="E53" i="33"/>
  <c r="E9" i="33"/>
  <c r="F21" i="29"/>
  <c r="F19" i="29"/>
  <c r="F20" i="29"/>
  <c r="F18" i="29"/>
  <c r="AV202" i="29" s="1"/>
  <c r="J8" i="30" l="1"/>
  <c r="M12" i="30"/>
  <c r="N12" i="30" s="1"/>
  <c r="J226" i="32" s="1"/>
  <c r="AD86" i="33"/>
  <c r="AD83" i="33"/>
  <c r="P15" i="33"/>
  <c r="D10" i="30"/>
  <c r="C11" i="34"/>
  <c r="Z14" i="36"/>
  <c r="AI14" i="36" s="1"/>
  <c r="L19" i="36" s="1"/>
  <c r="D17" i="31"/>
  <c r="E32" i="33"/>
  <c r="H32" i="33" s="1"/>
  <c r="C32" i="33"/>
  <c r="E10" i="30"/>
  <c r="AC27" i="33"/>
  <c r="H8" i="30"/>
  <c r="G8" i="30"/>
  <c r="H91" i="35"/>
  <c r="H18" i="33"/>
  <c r="L91" i="35"/>
  <c r="J17" i="31"/>
  <c r="M10" i="33"/>
  <c r="P12" i="33" s="1"/>
  <c r="AC17" i="33"/>
  <c r="X59" i="33"/>
  <c r="AC32" i="33"/>
  <c r="X58" i="33"/>
  <c r="P30" i="33"/>
  <c r="U10" i="33"/>
  <c r="E52" i="33"/>
  <c r="E10" i="33"/>
  <c r="H9" i="33" s="1"/>
  <c r="Y29" i="37"/>
  <c r="C8" i="34"/>
  <c r="U18" i="33"/>
  <c r="P11" i="33"/>
  <c r="I8" i="30"/>
  <c r="G11" i="31"/>
  <c r="U9" i="33"/>
  <c r="P29" i="33"/>
  <c r="AC50" i="33" l="1"/>
  <c r="AC64" i="33"/>
  <c r="C13" i="34"/>
  <c r="C14" i="34" s="1"/>
  <c r="F191" i="32" s="1"/>
  <c r="G12" i="31"/>
  <c r="P34" i="33"/>
  <c r="P35" i="33" s="1"/>
  <c r="C12" i="34"/>
  <c r="G229" i="32"/>
  <c r="D200" i="32"/>
  <c r="E200" i="32" s="1"/>
  <c r="K200" i="32" s="1"/>
  <c r="D218" i="32"/>
  <c r="E218" i="32" s="1"/>
  <c r="D209" i="32"/>
  <c r="E209" i="32" s="1"/>
  <c r="K209" i="32" s="1"/>
  <c r="D149" i="32"/>
  <c r="E149" i="32" s="1"/>
  <c r="K149" i="32" s="1"/>
  <c r="F188" i="32"/>
  <c r="C19" i="36"/>
  <c r="D11" i="30"/>
  <c r="M9" i="30" s="1"/>
  <c r="N9" i="30" s="1"/>
  <c r="H47" i="33"/>
  <c r="U32" i="33"/>
  <c r="Y32" i="33" s="1"/>
  <c r="H50" i="33"/>
  <c r="I32" i="33"/>
  <c r="U13" i="36"/>
  <c r="U7" i="36"/>
  <c r="T32" i="33"/>
  <c r="AF50" i="33"/>
  <c r="AC33" i="33"/>
  <c r="AF27" i="33" s="1"/>
  <c r="D12" i="31"/>
  <c r="AF16" i="33"/>
  <c r="Z6" i="36"/>
  <c r="AC6" i="36" s="1"/>
  <c r="M12" i="33"/>
  <c r="AF17" i="33"/>
  <c r="AD76" i="33"/>
  <c r="P10" i="33"/>
  <c r="P9" i="33"/>
  <c r="U59" i="33"/>
  <c r="U60" i="33" s="1"/>
  <c r="X10" i="33"/>
  <c r="X18" i="33"/>
  <c r="U61" i="33"/>
  <c r="X9" i="33"/>
  <c r="H10" i="33"/>
  <c r="C15" i="34" l="1"/>
  <c r="AC63" i="33" s="1"/>
  <c r="Z41" i="36" s="1"/>
  <c r="G230" i="32"/>
  <c r="M11" i="30"/>
  <c r="N11" i="30" s="1"/>
  <c r="U62" i="33" s="1"/>
  <c r="H26" i="37" s="1"/>
  <c r="Z29" i="36"/>
  <c r="AA29" i="36" s="1"/>
  <c r="AI6" i="36"/>
  <c r="AL6" i="36" s="1"/>
  <c r="M10" i="30"/>
  <c r="N10" i="30" s="1"/>
  <c r="M8" i="30"/>
  <c r="N8" i="30" s="1"/>
  <c r="X32" i="33"/>
  <c r="C21" i="34"/>
  <c r="C23" i="34" s="1"/>
  <c r="AC34" i="33"/>
  <c r="AC65" i="33" l="1"/>
  <c r="C16" i="34"/>
  <c r="G227" i="32" s="1"/>
  <c r="C24" i="34"/>
  <c r="C37" i="69"/>
  <c r="C38" i="69" s="1"/>
  <c r="C13" i="69"/>
  <c r="C14" i="69" s="1"/>
  <c r="I13" i="69"/>
  <c r="I14" i="69" s="1"/>
  <c r="I37" i="69"/>
  <c r="I38" i="69" s="1"/>
  <c r="I16" i="69"/>
  <c r="I17" i="69" s="1"/>
  <c r="C40" i="69"/>
  <c r="C41" i="69" s="1"/>
  <c r="C16" i="69"/>
  <c r="C17" i="69" s="1"/>
  <c r="I40" i="69"/>
  <c r="I41" i="69" s="1"/>
  <c r="C27" i="69"/>
  <c r="I27" i="69"/>
  <c r="AV203" i="29"/>
  <c r="D13" i="31" s="1"/>
  <c r="AC66" i="33"/>
  <c r="AA41" i="36"/>
  <c r="AF42" i="36" s="1"/>
  <c r="M19" i="33"/>
  <c r="AC55" i="33"/>
  <c r="H36" i="37" s="1"/>
  <c r="M36" i="37" s="1"/>
  <c r="AF55" i="33"/>
  <c r="H37" i="37" s="1"/>
  <c r="M37" i="37" s="1"/>
  <c r="M29" i="33"/>
  <c r="H13" i="37" s="1"/>
  <c r="M13" i="37" s="1"/>
  <c r="Z10" i="36"/>
  <c r="C9" i="34"/>
  <c r="M26" i="37"/>
  <c r="AL10" i="36"/>
  <c r="AI10" i="36"/>
  <c r="E50" i="33"/>
  <c r="H9" i="37" s="1"/>
  <c r="M9" i="37" s="1"/>
  <c r="AF22" i="33"/>
  <c r="H30" i="37" s="1"/>
  <c r="M30" i="37" s="1"/>
  <c r="AC22" i="33"/>
  <c r="H29" i="37" s="1"/>
  <c r="M29" i="37" s="1"/>
  <c r="AC10" i="36"/>
  <c r="L10" i="36"/>
  <c r="AD74" i="33"/>
  <c r="H34" i="37" s="1"/>
  <c r="M34" i="37" s="1"/>
  <c r="C10" i="36"/>
  <c r="U51" i="33"/>
  <c r="H24" i="37" s="1"/>
  <c r="M24" i="37" s="1"/>
  <c r="P27" i="33"/>
  <c r="H17" i="37" s="1"/>
  <c r="M17" i="37" s="1"/>
  <c r="E22" i="33"/>
  <c r="O10" i="36"/>
  <c r="U22" i="33"/>
  <c r="X56" i="33"/>
  <c r="H25" i="37" s="1"/>
  <c r="M25" i="37" s="1"/>
  <c r="F13" i="36"/>
  <c r="AF30" i="36"/>
  <c r="AB36" i="33" s="1"/>
  <c r="AC35" i="33"/>
  <c r="U46" i="33"/>
  <c r="H22" i="37" s="1"/>
  <c r="M22" i="37" s="1"/>
  <c r="U26" i="33"/>
  <c r="X26" i="33" s="1"/>
  <c r="E46" i="33"/>
  <c r="H7" i="37" s="1"/>
  <c r="M7" i="37" s="1"/>
  <c r="E26" i="33"/>
  <c r="H26" i="33" s="1"/>
  <c r="P19" i="33"/>
  <c r="H15" i="37" s="1"/>
  <c r="M15" i="37" s="1"/>
  <c r="F183" i="32" l="1"/>
  <c r="J112" i="32"/>
  <c r="D211" i="32"/>
  <c r="F211" i="32" s="1"/>
  <c r="F186" i="32"/>
  <c r="D202" i="32"/>
  <c r="E202" i="32" s="1"/>
  <c r="I202" i="32" s="1"/>
  <c r="D220" i="32"/>
  <c r="D221" i="32" s="1"/>
  <c r="C19" i="34"/>
  <c r="C25" i="34" s="1"/>
  <c r="Z28" i="37" s="1"/>
  <c r="AA28" i="37" s="1"/>
  <c r="AB44" i="37" s="1"/>
  <c r="I29" i="29"/>
  <c r="M11" i="33" s="1"/>
  <c r="M25" i="33" s="1"/>
  <c r="M26" i="33" s="1"/>
  <c r="D151" i="32"/>
  <c r="D152" i="32" s="1"/>
  <c r="G226" i="32"/>
  <c r="F184" i="32"/>
  <c r="G228" i="32"/>
  <c r="L105" i="32"/>
  <c r="I18" i="69"/>
  <c r="J105" i="32"/>
  <c r="G222" i="32"/>
  <c r="N222" i="32" s="1"/>
  <c r="G6" i="31"/>
  <c r="N22" i="31" s="1"/>
  <c r="H218" i="32"/>
  <c r="P218" i="32" s="1"/>
  <c r="N13" i="31"/>
  <c r="L60" i="32"/>
  <c r="N16" i="31"/>
  <c r="N17" i="31" s="1"/>
  <c r="L49" i="32" s="1"/>
  <c r="H222" i="32"/>
  <c r="H209" i="32"/>
  <c r="I42" i="69"/>
  <c r="D14" i="31"/>
  <c r="H149" i="32"/>
  <c r="G117" i="35"/>
  <c r="G118" i="35" s="1"/>
  <c r="G220" i="32"/>
  <c r="N220" i="32" s="1"/>
  <c r="C42" i="69"/>
  <c r="J6" i="31"/>
  <c r="N23" i="31" s="1"/>
  <c r="N12" i="31"/>
  <c r="H200" i="32"/>
  <c r="G221" i="32"/>
  <c r="N221" i="32" s="1"/>
  <c r="G139" i="35"/>
  <c r="G140" i="35" s="1"/>
  <c r="C18" i="69"/>
  <c r="J60" i="32"/>
  <c r="G219" i="32"/>
  <c r="M219" i="32" s="1"/>
  <c r="H221" i="32"/>
  <c r="H217" i="32"/>
  <c r="G159" i="35"/>
  <c r="G160" i="35" s="1"/>
  <c r="G200" i="32"/>
  <c r="N200" i="32" s="1"/>
  <c r="G149" i="32"/>
  <c r="N149" i="32" s="1"/>
  <c r="H219" i="32"/>
  <c r="H220" i="32"/>
  <c r="G217" i="32"/>
  <c r="N217" i="32" s="1"/>
  <c r="G209" i="32"/>
  <c r="Q139" i="35"/>
  <c r="Q141" i="35" s="1"/>
  <c r="AB67" i="33"/>
  <c r="I40" i="37"/>
  <c r="C6" i="36"/>
  <c r="F6" i="36" s="1"/>
  <c r="H12" i="37"/>
  <c r="M12" i="37" s="1"/>
  <c r="I33" i="37"/>
  <c r="J33" i="37" s="1"/>
  <c r="D203" i="32"/>
  <c r="F202" i="32"/>
  <c r="D217" i="32"/>
  <c r="D199" i="32"/>
  <c r="D208" i="32"/>
  <c r="D148" i="32"/>
  <c r="E148" i="32" s="1"/>
  <c r="I148" i="32" s="1"/>
  <c r="Z12" i="37"/>
  <c r="AA12" i="37" s="1"/>
  <c r="AB42" i="37" s="1"/>
  <c r="Y3" i="37"/>
  <c r="Z3" i="37" s="1"/>
  <c r="Y6" i="37"/>
  <c r="H22" i="33"/>
  <c r="E43" i="33"/>
  <c r="E39" i="33"/>
  <c r="U43" i="33"/>
  <c r="U39" i="33"/>
  <c r="X22" i="33"/>
  <c r="E211" i="32" l="1"/>
  <c r="I211" i="32" s="1"/>
  <c r="D212" i="32"/>
  <c r="E212" i="32" s="1"/>
  <c r="I212" i="32" s="1"/>
  <c r="E220" i="32"/>
  <c r="J11" i="31"/>
  <c r="J12" i="31" s="1"/>
  <c r="E151" i="32"/>
  <c r="I151" i="32" s="1"/>
  <c r="F151" i="32"/>
  <c r="G151" i="32" s="1"/>
  <c r="M217" i="32"/>
  <c r="O217" i="32" s="1"/>
  <c r="P217" i="32" s="1"/>
  <c r="M200" i="32"/>
  <c r="O200" i="32" s="1"/>
  <c r="P200" i="32" s="1"/>
  <c r="M221" i="32"/>
  <c r="O221" i="32" s="1"/>
  <c r="P221" i="32" s="1"/>
  <c r="G119" i="35"/>
  <c r="AV105" i="35" s="1"/>
  <c r="N18" i="31"/>
  <c r="F49" i="32" s="1"/>
  <c r="N219" i="32"/>
  <c r="O219" i="32" s="1"/>
  <c r="P219" i="32" s="1"/>
  <c r="G49" i="32"/>
  <c r="Q140" i="35"/>
  <c r="M209" i="32"/>
  <c r="N209" i="32"/>
  <c r="M222" i="32"/>
  <c r="O222" i="32" s="1"/>
  <c r="P222" i="32" s="1"/>
  <c r="M220" i="32"/>
  <c r="O220" i="32" s="1"/>
  <c r="P220" i="32" s="1"/>
  <c r="M149" i="32"/>
  <c r="O149" i="32" s="1"/>
  <c r="P149" i="32" s="1"/>
  <c r="G141" i="35"/>
  <c r="O33" i="37"/>
  <c r="G161" i="35"/>
  <c r="J40" i="37"/>
  <c r="K40" i="37" s="1"/>
  <c r="O40" i="37"/>
  <c r="D49" i="32"/>
  <c r="D51" i="32" s="1"/>
  <c r="H19" i="33" s="1"/>
  <c r="H33" i="33" s="1"/>
  <c r="D18" i="32"/>
  <c r="D19" i="32" s="1"/>
  <c r="D25" i="32" s="1"/>
  <c r="H81" i="35" s="1"/>
  <c r="J18" i="32" s="1"/>
  <c r="J20" i="32" s="1"/>
  <c r="H16" i="33" s="1"/>
  <c r="H23" i="33" s="1"/>
  <c r="M27" i="33"/>
  <c r="M28" i="33" s="1"/>
  <c r="L6" i="36"/>
  <c r="O6" i="36" s="1"/>
  <c r="H211" i="32"/>
  <c r="G211" i="32"/>
  <c r="D201" i="32"/>
  <c r="F199" i="32"/>
  <c r="E199" i="32"/>
  <c r="I199" i="32" s="1"/>
  <c r="D219" i="32"/>
  <c r="E219" i="32" s="1"/>
  <c r="E217" i="32"/>
  <c r="H202" i="32"/>
  <c r="G202" i="32"/>
  <c r="D222" i="32"/>
  <c r="E222" i="32" s="1"/>
  <c r="E221" i="32"/>
  <c r="E208" i="32"/>
  <c r="I208" i="32" s="1"/>
  <c r="F208" i="32"/>
  <c r="D210" i="32"/>
  <c r="F203" i="32"/>
  <c r="E203" i="32"/>
  <c r="I203" i="32" s="1"/>
  <c r="D204" i="32"/>
  <c r="L51" i="32"/>
  <c r="H20" i="33" s="1"/>
  <c r="I33" i="33" s="1"/>
  <c r="I34" i="33" s="1"/>
  <c r="I16" i="36"/>
  <c r="I10" i="36"/>
  <c r="P36" i="33"/>
  <c r="R103" i="32"/>
  <c r="F148" i="32"/>
  <c r="G148" i="32" s="1"/>
  <c r="D150" i="32"/>
  <c r="F150" i="32" s="1"/>
  <c r="Y7" i="37"/>
  <c r="Z6" i="37" s="1"/>
  <c r="AA6" i="37" s="1"/>
  <c r="AB41" i="37" s="1"/>
  <c r="Y4" i="37"/>
  <c r="AA3" i="37" s="1"/>
  <c r="D153" i="32"/>
  <c r="E152" i="32"/>
  <c r="I152" i="32" s="1"/>
  <c r="F152" i="32"/>
  <c r="AV103" i="35"/>
  <c r="R33" i="37"/>
  <c r="K33" i="37"/>
  <c r="G14" i="31"/>
  <c r="I8" i="36" s="1"/>
  <c r="G13" i="31"/>
  <c r="V43" i="33"/>
  <c r="V39" i="33"/>
  <c r="F43" i="33"/>
  <c r="F39" i="33"/>
  <c r="F212" i="32" l="1"/>
  <c r="G212" i="32" s="1"/>
  <c r="D213" i="32"/>
  <c r="F213" i="32" s="1"/>
  <c r="Q127" i="35"/>
  <c r="H228" i="32" s="1"/>
  <c r="H151" i="32"/>
  <c r="AL105" i="35" s="1"/>
  <c r="AA105" i="35"/>
  <c r="H186" i="32" s="1"/>
  <c r="N49" i="32"/>
  <c r="N51" i="32" s="1"/>
  <c r="E20" i="33" s="1"/>
  <c r="C33" i="33" s="1"/>
  <c r="C34" i="33" s="1"/>
  <c r="F21" i="32"/>
  <c r="F22" i="32" s="1"/>
  <c r="F18" i="32"/>
  <c r="F19" i="32" s="1"/>
  <c r="O209" i="32"/>
  <c r="P209" i="32" s="1"/>
  <c r="J63" i="32"/>
  <c r="R88" i="35" s="1"/>
  <c r="D60" i="32"/>
  <c r="D61" i="32" s="1"/>
  <c r="D67" i="32" s="1"/>
  <c r="R72" i="35" s="1"/>
  <c r="O62" i="32" s="1"/>
  <c r="E210" i="32"/>
  <c r="I210" i="32" s="1"/>
  <c r="F210" i="32"/>
  <c r="E204" i="32"/>
  <c r="I204" i="32" s="1"/>
  <c r="F204" i="32"/>
  <c r="E213" i="32"/>
  <c r="I213" i="32" s="1"/>
  <c r="H208" i="32"/>
  <c r="G208" i="32"/>
  <c r="H199" i="32"/>
  <c r="G199" i="32"/>
  <c r="Q138" i="35"/>
  <c r="Q125" i="35" s="1"/>
  <c r="Q129" i="35" s="1"/>
  <c r="H230" i="32" s="1"/>
  <c r="G203" i="32"/>
  <c r="H203" i="32"/>
  <c r="E201" i="32"/>
  <c r="I201" i="32" s="1"/>
  <c r="F201" i="32"/>
  <c r="K208" i="32"/>
  <c r="K211" i="32"/>
  <c r="K212" i="32"/>
  <c r="J76" i="35"/>
  <c r="K148" i="32"/>
  <c r="M148" i="32" s="1"/>
  <c r="K199" i="32"/>
  <c r="K202" i="32"/>
  <c r="K203" i="32"/>
  <c r="L7" i="36"/>
  <c r="L21" i="36" s="1"/>
  <c r="I14" i="36"/>
  <c r="P37" i="33"/>
  <c r="H18" i="37" s="1"/>
  <c r="M18" i="37" s="1"/>
  <c r="L91" i="32"/>
  <c r="L93" i="32" s="1"/>
  <c r="D91" i="32"/>
  <c r="D93" i="32" s="1"/>
  <c r="N91" i="32"/>
  <c r="N93" i="32" s="1"/>
  <c r="P14" i="33" s="1"/>
  <c r="F91" i="32"/>
  <c r="F63" i="32"/>
  <c r="F64" i="32" s="1"/>
  <c r="G91" i="32"/>
  <c r="L63" i="32"/>
  <c r="W92" i="35" s="1"/>
  <c r="F60" i="32"/>
  <c r="F61" i="32" s="1"/>
  <c r="F51" i="32"/>
  <c r="H148" i="32"/>
  <c r="E150" i="32"/>
  <c r="I150" i="32" s="1"/>
  <c r="AB40" i="37"/>
  <c r="AB45" i="37"/>
  <c r="AC45" i="37" s="1"/>
  <c r="E153" i="32"/>
  <c r="I153" i="32" s="1"/>
  <c r="F153" i="32"/>
  <c r="AV107" i="35"/>
  <c r="AV106" i="35"/>
  <c r="AV104" i="35"/>
  <c r="G150" i="32"/>
  <c r="H150" i="32"/>
  <c r="G152" i="32"/>
  <c r="H152" i="32"/>
  <c r="K151" i="32"/>
  <c r="K152" i="32"/>
  <c r="R108" i="32"/>
  <c r="R109" i="32" s="1"/>
  <c r="V107" i="32"/>
  <c r="AQ91" i="35" s="1"/>
  <c r="R105" i="32"/>
  <c r="R106" i="32" s="1"/>
  <c r="J14" i="31"/>
  <c r="G136" i="32" s="1"/>
  <c r="R136" i="32"/>
  <c r="R138" i="32" s="1"/>
  <c r="J13" i="31"/>
  <c r="G24" i="33"/>
  <c r="F42" i="33"/>
  <c r="F38" i="33"/>
  <c r="H212" i="32" l="1"/>
  <c r="H51" i="33"/>
  <c r="F25" i="32"/>
  <c r="L81" i="35" s="1"/>
  <c r="L18" i="32" s="1"/>
  <c r="L20" i="32" s="1"/>
  <c r="E16" i="33" s="1"/>
  <c r="E23" i="33" s="1"/>
  <c r="G38" i="33" s="1"/>
  <c r="M208" i="32"/>
  <c r="N208" i="32"/>
  <c r="N212" i="32"/>
  <c r="M212" i="32"/>
  <c r="M211" i="32"/>
  <c r="N211" i="32"/>
  <c r="N199" i="32"/>
  <c r="K204" i="32"/>
  <c r="J17" i="32"/>
  <c r="J19" i="32" s="1"/>
  <c r="E17" i="33" s="1"/>
  <c r="E27" i="33" s="1"/>
  <c r="D28" i="33" s="1"/>
  <c r="K213" i="32"/>
  <c r="Q126" i="35"/>
  <c r="H229" i="32" s="1"/>
  <c r="L23" i="36"/>
  <c r="L24" i="36" s="1"/>
  <c r="O7" i="36"/>
  <c r="H226" i="32"/>
  <c r="Q128" i="35"/>
  <c r="H227" i="32" s="1"/>
  <c r="H210" i="32"/>
  <c r="G210" i="32"/>
  <c r="H213" i="32"/>
  <c r="G213" i="32"/>
  <c r="G204" i="32"/>
  <c r="H204" i="32"/>
  <c r="G201" i="32"/>
  <c r="H201" i="32"/>
  <c r="K210" i="32"/>
  <c r="N202" i="32"/>
  <c r="M202" i="32"/>
  <c r="Q105" i="35"/>
  <c r="G186" i="32" s="1"/>
  <c r="K201" i="32"/>
  <c r="M199" i="32"/>
  <c r="M203" i="32"/>
  <c r="N203" i="32"/>
  <c r="I13" i="36"/>
  <c r="I15" i="36" s="1"/>
  <c r="H17" i="36" s="1"/>
  <c r="N148" i="32"/>
  <c r="M151" i="32"/>
  <c r="N151" i="32"/>
  <c r="M152" i="32"/>
  <c r="N152" i="32"/>
  <c r="D136" i="32"/>
  <c r="D138" i="32" s="1"/>
  <c r="D140" i="32"/>
  <c r="D141" i="32" s="1"/>
  <c r="D105" i="32"/>
  <c r="D106" i="32" s="1"/>
  <c r="D112" i="32" s="1"/>
  <c r="X20" i="33" s="1"/>
  <c r="V14" i="36"/>
  <c r="V8" i="36"/>
  <c r="F93" i="32"/>
  <c r="P13" i="33" s="1"/>
  <c r="F140" i="32"/>
  <c r="F141" i="32" s="1"/>
  <c r="F108" i="32"/>
  <c r="F109" i="32" s="1"/>
  <c r="F105" i="32"/>
  <c r="F106" i="32" s="1"/>
  <c r="F136" i="32"/>
  <c r="W14" i="36"/>
  <c r="W8" i="36"/>
  <c r="H34" i="33"/>
  <c r="E19" i="33"/>
  <c r="E33" i="33" s="1"/>
  <c r="H48" i="33" s="1"/>
  <c r="AC41" i="37"/>
  <c r="AC44" i="37"/>
  <c r="AC43" i="37"/>
  <c r="AC42" i="37"/>
  <c r="AC40" i="37"/>
  <c r="K153" i="32"/>
  <c r="G153" i="32"/>
  <c r="H153" i="32"/>
  <c r="AA116" i="35"/>
  <c r="AA103" i="35" s="1"/>
  <c r="K150" i="32"/>
  <c r="M150" i="32" s="1"/>
  <c r="R111" i="32"/>
  <c r="AQ76" i="35" s="1"/>
  <c r="U135" i="32" s="1"/>
  <c r="F67" i="32"/>
  <c r="V81" i="35" s="1"/>
  <c r="Q61" i="32" s="1"/>
  <c r="J108" i="32"/>
  <c r="AG91" i="35" s="1"/>
  <c r="AO91" i="35"/>
  <c r="V135" i="32"/>
  <c r="AO96" i="35"/>
  <c r="V136" i="32" s="1"/>
  <c r="V97" i="35"/>
  <c r="R61" i="32" s="1"/>
  <c r="R60" i="32"/>
  <c r="V91" i="35"/>
  <c r="L108" i="32"/>
  <c r="AL91" i="35" s="1"/>
  <c r="Q89" i="35"/>
  <c r="P62" i="32"/>
  <c r="O65" i="32" s="1"/>
  <c r="M15" i="33" s="1"/>
  <c r="M30" i="33" s="1"/>
  <c r="I13" i="37" s="1"/>
  <c r="N76" i="35" l="1"/>
  <c r="L17" i="32" s="1"/>
  <c r="L19" i="32" s="1"/>
  <c r="H17" i="33" s="1"/>
  <c r="H27" i="33" s="1"/>
  <c r="G28" i="33" s="1"/>
  <c r="E42" i="33"/>
  <c r="F138" i="32"/>
  <c r="M213" i="32"/>
  <c r="N213" i="32"/>
  <c r="N210" i="32"/>
  <c r="M210" i="32"/>
  <c r="N204" i="32"/>
  <c r="D24" i="33"/>
  <c r="E38" i="33"/>
  <c r="G42" i="33"/>
  <c r="H42" i="33" s="1"/>
  <c r="M204" i="32"/>
  <c r="L31" i="33"/>
  <c r="H38" i="33"/>
  <c r="O212" i="32"/>
  <c r="P212" i="32" s="1"/>
  <c r="O211" i="32"/>
  <c r="P211" i="32" s="1"/>
  <c r="G147" i="35" s="1"/>
  <c r="F228" i="32" s="1"/>
  <c r="L228" i="32" s="1"/>
  <c r="O199" i="32"/>
  <c r="P199" i="32" s="1"/>
  <c r="O208" i="32"/>
  <c r="O203" i="32"/>
  <c r="P203" i="32" s="1"/>
  <c r="AA107" i="35"/>
  <c r="H191" i="32" s="1"/>
  <c r="H183" i="32"/>
  <c r="O202" i="32"/>
  <c r="P202" i="32" s="1"/>
  <c r="M201" i="32"/>
  <c r="N201" i="32"/>
  <c r="W13" i="36"/>
  <c r="W15" i="36" s="1"/>
  <c r="X33" i="33" s="1"/>
  <c r="I7" i="36"/>
  <c r="I9" i="36" s="1"/>
  <c r="H11" i="36" s="1"/>
  <c r="V13" i="36"/>
  <c r="V15" i="36" s="1"/>
  <c r="O151" i="32"/>
  <c r="P151" i="32" s="1"/>
  <c r="G105" i="35" s="1"/>
  <c r="N150" i="32"/>
  <c r="O150" i="32" s="1"/>
  <c r="P150" i="32" s="1"/>
  <c r="O152" i="32"/>
  <c r="P152" i="32" s="1"/>
  <c r="M153" i="32"/>
  <c r="N153" i="32"/>
  <c r="X19" i="33"/>
  <c r="V7" i="36"/>
  <c r="C11" i="36"/>
  <c r="L25" i="36"/>
  <c r="O11" i="36" s="1"/>
  <c r="H54" i="33"/>
  <c r="AA106" i="35"/>
  <c r="H184" i="32" s="1"/>
  <c r="AA104" i="35"/>
  <c r="H188" i="32" s="1"/>
  <c r="AL116" i="35"/>
  <c r="AL103" i="35" s="1"/>
  <c r="AO81" i="35"/>
  <c r="U136" i="32" s="1"/>
  <c r="U138" i="32" s="1"/>
  <c r="T73" i="35"/>
  <c r="Q60" i="32" s="1"/>
  <c r="Q63" i="32" s="1"/>
  <c r="M13" i="33" s="1"/>
  <c r="U137" i="32"/>
  <c r="Q64" i="32"/>
  <c r="M14" i="33" s="1"/>
  <c r="F112" i="32"/>
  <c r="U20" i="33" s="1"/>
  <c r="O148" i="32"/>
  <c r="L11" i="36"/>
  <c r="AJ91" i="35"/>
  <c r="N135" i="32"/>
  <c r="AJ96" i="35"/>
  <c r="N136" i="32" s="1"/>
  <c r="AG76" i="35"/>
  <c r="K135" i="32" s="1"/>
  <c r="AE81" i="35"/>
  <c r="K136" i="32" s="1"/>
  <c r="AE91" i="35"/>
  <c r="AE96" i="35"/>
  <c r="L136" i="32" s="1"/>
  <c r="L135" i="32"/>
  <c r="O204" i="32" l="1"/>
  <c r="P204" i="32" s="1"/>
  <c r="E51" i="33"/>
  <c r="E54" i="33" s="1"/>
  <c r="D55" i="33" s="1"/>
  <c r="E47" i="33"/>
  <c r="I7" i="37" s="1"/>
  <c r="O7" i="37" s="1"/>
  <c r="M20" i="33"/>
  <c r="I12" i="37" s="1"/>
  <c r="P38" i="33"/>
  <c r="I18" i="37" s="1"/>
  <c r="O213" i="32"/>
  <c r="P213" i="32" s="1"/>
  <c r="I6" i="37"/>
  <c r="O6" i="37" s="1"/>
  <c r="I19" i="36"/>
  <c r="P24" i="33" s="1"/>
  <c r="I16" i="37" s="1"/>
  <c r="O16" i="37" s="1"/>
  <c r="P208" i="32"/>
  <c r="O210" i="32"/>
  <c r="P210" i="32" s="1"/>
  <c r="O201" i="32"/>
  <c r="G127" i="35"/>
  <c r="P148" i="32"/>
  <c r="E186" i="32"/>
  <c r="U19" i="33"/>
  <c r="V9" i="36"/>
  <c r="V18" i="36" s="1"/>
  <c r="V19" i="36" s="1"/>
  <c r="W7" i="36"/>
  <c r="O153" i="32"/>
  <c r="I8" i="37"/>
  <c r="H53" i="33"/>
  <c r="H8" i="37" s="1"/>
  <c r="M8" i="37" s="1"/>
  <c r="G55" i="33"/>
  <c r="T33" i="33"/>
  <c r="O14" i="36"/>
  <c r="C14" i="36"/>
  <c r="C16" i="36" s="1"/>
  <c r="F9" i="36"/>
  <c r="D34" i="33"/>
  <c r="AJ81" i="35"/>
  <c r="M136" i="32" s="1"/>
  <c r="M138" i="32" s="1"/>
  <c r="U16" i="33" s="1"/>
  <c r="AL106" i="35"/>
  <c r="AL104" i="35"/>
  <c r="AL107" i="35"/>
  <c r="AL76" i="35"/>
  <c r="M135" i="32" s="1"/>
  <c r="M137" i="32" s="1"/>
  <c r="K137" i="32"/>
  <c r="L16" i="36"/>
  <c r="N12" i="36"/>
  <c r="K12" i="36"/>
  <c r="P20" i="33"/>
  <c r="P28" i="33"/>
  <c r="P31" i="33" s="1"/>
  <c r="K138" i="32"/>
  <c r="X16" i="33" s="1"/>
  <c r="X23" i="33" s="1"/>
  <c r="B12" i="36"/>
  <c r="I36" i="69" l="1"/>
  <c r="G138" i="35"/>
  <c r="G125" i="35" s="1"/>
  <c r="E226" i="32" s="1"/>
  <c r="I226" i="32" s="1"/>
  <c r="J7" i="37"/>
  <c r="K7" i="37" s="1"/>
  <c r="I9" i="37"/>
  <c r="J9" i="37" s="1"/>
  <c r="D48" i="33"/>
  <c r="M37" i="33"/>
  <c r="L38" i="33" s="1"/>
  <c r="L21" i="33"/>
  <c r="C7" i="36"/>
  <c r="C21" i="36" s="1"/>
  <c r="C23" i="36" s="1"/>
  <c r="C24" i="36" s="1"/>
  <c r="C25" i="36" s="1"/>
  <c r="F14" i="36" s="1"/>
  <c r="E15" i="36" s="1"/>
  <c r="J6" i="37"/>
  <c r="K6" i="37" s="1"/>
  <c r="C36" i="69"/>
  <c r="C44" i="69" s="1"/>
  <c r="C45" i="69" s="1"/>
  <c r="I53" i="37" s="1"/>
  <c r="J8" i="37"/>
  <c r="I20" i="36"/>
  <c r="P23" i="33" s="1"/>
  <c r="H16" i="37" s="1"/>
  <c r="M16" i="37" s="1"/>
  <c r="G158" i="35"/>
  <c r="G145" i="35" s="1"/>
  <c r="F226" i="32" s="1"/>
  <c r="L226" i="32" s="1"/>
  <c r="E228" i="32"/>
  <c r="I228" i="32" s="1"/>
  <c r="P201" i="32"/>
  <c r="Q116" i="35"/>
  <c r="Q103" i="35" s="1"/>
  <c r="G183" i="32" s="1"/>
  <c r="P153" i="32"/>
  <c r="G116" i="35"/>
  <c r="G103" i="35" s="1"/>
  <c r="G104" i="35" s="1"/>
  <c r="K186" i="32"/>
  <c r="W9" i="36"/>
  <c r="W18" i="36" s="1"/>
  <c r="W19" i="36" s="1"/>
  <c r="U33" i="33"/>
  <c r="S34" i="33" s="1"/>
  <c r="F11" i="36"/>
  <c r="U23" i="33"/>
  <c r="W38" i="33" s="1"/>
  <c r="U63" i="33"/>
  <c r="T64" i="33" s="1"/>
  <c r="U17" i="33"/>
  <c r="U27" i="33" s="1"/>
  <c r="U52" i="33"/>
  <c r="U55" i="33" s="1"/>
  <c r="T56" i="33" s="1"/>
  <c r="O8" i="37"/>
  <c r="O39" i="33"/>
  <c r="N28" i="36"/>
  <c r="V42" i="33"/>
  <c r="W24" i="33"/>
  <c r="V38" i="33"/>
  <c r="I17" i="37"/>
  <c r="O32" i="33"/>
  <c r="O18" i="37"/>
  <c r="J18" i="37"/>
  <c r="N27" i="36"/>
  <c r="K17" i="36"/>
  <c r="O27" i="36" s="1"/>
  <c r="E26" i="36"/>
  <c r="B17" i="36"/>
  <c r="F26" i="36" s="1"/>
  <c r="X57" i="33"/>
  <c r="X60" i="33" s="1"/>
  <c r="X17" i="33"/>
  <c r="X27" i="33" s="1"/>
  <c r="W28" i="33" s="1"/>
  <c r="O21" i="33"/>
  <c r="I15" i="37"/>
  <c r="O53" i="37" l="1"/>
  <c r="J53" i="37"/>
  <c r="K53" i="37" s="1"/>
  <c r="G126" i="35"/>
  <c r="E229" i="32" s="1"/>
  <c r="I229" i="32" s="1"/>
  <c r="R9" i="37"/>
  <c r="F10" i="37"/>
  <c r="AF46" i="37" s="1"/>
  <c r="O9" i="37"/>
  <c r="G128" i="35"/>
  <c r="E227" i="32" s="1"/>
  <c r="I227" i="32" s="1"/>
  <c r="G129" i="35"/>
  <c r="E230" i="32" s="1"/>
  <c r="I230" i="32" s="1"/>
  <c r="R7" i="37"/>
  <c r="K9" i="37"/>
  <c r="I14" i="37"/>
  <c r="J14" i="37" s="1"/>
  <c r="R14" i="37" s="1"/>
  <c r="F7" i="36"/>
  <c r="J10" i="37"/>
  <c r="L10" i="37" s="1"/>
  <c r="R6" i="37"/>
  <c r="I44" i="69"/>
  <c r="I45" i="69" s="1"/>
  <c r="I54" i="37" s="1"/>
  <c r="C48" i="69"/>
  <c r="C49" i="69"/>
  <c r="F17" i="36"/>
  <c r="E18" i="36" s="1"/>
  <c r="F27" i="36" s="1"/>
  <c r="H21" i="36"/>
  <c r="O25" i="33"/>
  <c r="J16" i="37"/>
  <c r="R16" i="37" s="1"/>
  <c r="G149" i="35"/>
  <c r="F230" i="32" s="1"/>
  <c r="L230" i="32" s="1"/>
  <c r="G146" i="35"/>
  <c r="F229" i="32" s="1"/>
  <c r="L229" i="32" s="1"/>
  <c r="G148" i="35"/>
  <c r="F227" i="32" s="1"/>
  <c r="L227" i="32" s="1"/>
  <c r="Q106" i="35"/>
  <c r="G184" i="32" s="1"/>
  <c r="Q107" i="35"/>
  <c r="G191" i="32" s="1"/>
  <c r="Q104" i="35"/>
  <c r="G188" i="32" s="1"/>
  <c r="G106" i="35"/>
  <c r="G107" i="35"/>
  <c r="Y33" i="33"/>
  <c r="W34" i="33" s="1"/>
  <c r="W42" i="33"/>
  <c r="X42" i="33" s="1"/>
  <c r="U42" i="33"/>
  <c r="T24" i="33"/>
  <c r="U38" i="33"/>
  <c r="U47" i="33"/>
  <c r="T28" i="33"/>
  <c r="X46" i="33"/>
  <c r="X47" i="33"/>
  <c r="Z46" i="33"/>
  <c r="Z47" i="33"/>
  <c r="R8" i="37"/>
  <c r="K8" i="37"/>
  <c r="AD75" i="33"/>
  <c r="AD78" i="33" s="1"/>
  <c r="I34" i="37" s="1"/>
  <c r="I26" i="37"/>
  <c r="O26" i="37" s="1"/>
  <c r="E183" i="32"/>
  <c r="N15" i="36"/>
  <c r="O28" i="36" s="1"/>
  <c r="I24" i="37"/>
  <c r="O24" i="37" s="1"/>
  <c r="I25" i="37"/>
  <c r="W61" i="33"/>
  <c r="X38" i="33"/>
  <c r="J13" i="37"/>
  <c r="R18" i="37"/>
  <c r="K18" i="37"/>
  <c r="J15" i="37"/>
  <c r="O15" i="37"/>
  <c r="J17" i="37"/>
  <c r="O17" i="37"/>
  <c r="J54" i="37" l="1"/>
  <c r="K54" i="37" s="1"/>
  <c r="O54" i="37"/>
  <c r="O34" i="37"/>
  <c r="J34" i="37"/>
  <c r="K34" i="37" s="1"/>
  <c r="C12" i="69"/>
  <c r="C20" i="69" s="1"/>
  <c r="O14" i="37"/>
  <c r="R10" i="37"/>
  <c r="O10" i="37"/>
  <c r="K14" i="37"/>
  <c r="P10" i="37"/>
  <c r="N10" i="37"/>
  <c r="K10" i="37"/>
  <c r="M10" i="37"/>
  <c r="I49" i="69"/>
  <c r="I48" i="69"/>
  <c r="E27" i="36"/>
  <c r="J12" i="37" s="1"/>
  <c r="K16" i="37"/>
  <c r="M226" i="32"/>
  <c r="M227" i="32" s="1"/>
  <c r="AD87" i="33" s="1"/>
  <c r="K226" i="32"/>
  <c r="K227" i="32" s="1"/>
  <c r="AD84" i="33" s="1"/>
  <c r="I21" i="37"/>
  <c r="O21" i="37" s="1"/>
  <c r="E191" i="32"/>
  <c r="E184" i="32"/>
  <c r="E188" i="32"/>
  <c r="Y51" i="33"/>
  <c r="Y48" i="33"/>
  <c r="W48" i="33"/>
  <c r="O12" i="37"/>
  <c r="J26" i="37"/>
  <c r="K26" i="37" s="1"/>
  <c r="AC79" i="33"/>
  <c r="J24" i="37"/>
  <c r="K24" i="37" s="1"/>
  <c r="O13" i="37"/>
  <c r="J25" i="37"/>
  <c r="O25" i="37"/>
  <c r="K17" i="37"/>
  <c r="R17" i="37"/>
  <c r="AH4" i="36"/>
  <c r="R15" i="37"/>
  <c r="K15" i="37"/>
  <c r="T48" i="33"/>
  <c r="I22" i="37"/>
  <c r="S10" i="37" l="1"/>
  <c r="R12" i="37"/>
  <c r="F19" i="37"/>
  <c r="AH46" i="37" s="1"/>
  <c r="Q10" i="37"/>
  <c r="K183" i="32"/>
  <c r="J183" i="32" s="1"/>
  <c r="I12" i="69"/>
  <c r="K12" i="37"/>
  <c r="J21" i="37"/>
  <c r="K184" i="32"/>
  <c r="J184" i="32" s="1"/>
  <c r="K188" i="32"/>
  <c r="AC23" i="33" s="1"/>
  <c r="K191" i="32"/>
  <c r="I23" i="37"/>
  <c r="Y50" i="33"/>
  <c r="H23" i="37" s="1"/>
  <c r="M23" i="37" s="1"/>
  <c r="R26" i="37"/>
  <c r="R34" i="37"/>
  <c r="R24" i="37"/>
  <c r="R25" i="37"/>
  <c r="K25" i="37"/>
  <c r="K13" i="37"/>
  <c r="R13" i="37"/>
  <c r="J19" i="37"/>
  <c r="L19" i="37" s="1"/>
  <c r="J22" i="37"/>
  <c r="O22" i="37"/>
  <c r="R21" i="37" l="1"/>
  <c r="L183" i="32"/>
  <c r="M183" i="32"/>
  <c r="I20" i="69"/>
  <c r="I21" i="69" s="1"/>
  <c r="I52" i="37" s="1"/>
  <c r="I28" i="69"/>
  <c r="I29" i="69" s="1"/>
  <c r="I31" i="69" s="1"/>
  <c r="N183" i="32"/>
  <c r="AF23" i="33"/>
  <c r="K21" i="37"/>
  <c r="W52" i="33"/>
  <c r="J23" i="37"/>
  <c r="F27" i="37" s="1"/>
  <c r="AJ46" i="37" s="1"/>
  <c r="O23" i="37"/>
  <c r="N184" i="32"/>
  <c r="M184" i="32"/>
  <c r="L184" i="32"/>
  <c r="AF48" i="33"/>
  <c r="J186" i="32"/>
  <c r="J188" i="32"/>
  <c r="AC48" i="33"/>
  <c r="I29" i="37"/>
  <c r="AB24" i="33"/>
  <c r="J191" i="32"/>
  <c r="K22" i="37"/>
  <c r="R22" i="37"/>
  <c r="P19" i="37"/>
  <c r="O19" i="37"/>
  <c r="R19" i="37"/>
  <c r="K19" i="37"/>
  <c r="N19" i="37"/>
  <c r="M19" i="37"/>
  <c r="S19" i="37" l="1"/>
  <c r="J52" i="37"/>
  <c r="K52" i="37" s="1"/>
  <c r="O52" i="37"/>
  <c r="Q19" i="37"/>
  <c r="I24" i="69"/>
  <c r="I25" i="69"/>
  <c r="C28" i="69"/>
  <c r="C29" i="69" s="1"/>
  <c r="C31" i="69" s="1"/>
  <c r="C21" i="69"/>
  <c r="I51" i="37" s="1"/>
  <c r="K23" i="37"/>
  <c r="R23" i="37"/>
  <c r="J27" i="37"/>
  <c r="AI11" i="36"/>
  <c r="AK21" i="36" s="1"/>
  <c r="Z11" i="36"/>
  <c r="Y12" i="36" s="1"/>
  <c r="M186" i="32"/>
  <c r="L186" i="32"/>
  <c r="AF49" i="33" s="1"/>
  <c r="AF59" i="33" s="1"/>
  <c r="N186" i="32"/>
  <c r="N188" i="32"/>
  <c r="M188" i="32"/>
  <c r="L188" i="32"/>
  <c r="N191" i="32"/>
  <c r="M191" i="32"/>
  <c r="L191" i="32"/>
  <c r="AF26" i="33" s="1"/>
  <c r="AB21" i="33"/>
  <c r="I30" i="37"/>
  <c r="AE24" i="33"/>
  <c r="J29" i="37"/>
  <c r="O29" i="37"/>
  <c r="Y4" i="36"/>
  <c r="AC49" i="33"/>
  <c r="AC59" i="33" s="1"/>
  <c r="J51" i="37" l="1"/>
  <c r="O51" i="37"/>
  <c r="L27" i="37"/>
  <c r="P27" i="37"/>
  <c r="C24" i="69"/>
  <c r="C25" i="69"/>
  <c r="I38" i="37"/>
  <c r="AC51" i="33"/>
  <c r="AC52" i="33" s="1"/>
  <c r="AC53" i="33" s="1"/>
  <c r="AC54" i="33" s="1"/>
  <c r="AC56" i="33" s="1"/>
  <c r="AB57" i="33" s="1"/>
  <c r="AF51" i="33"/>
  <c r="AF52" i="33" s="1"/>
  <c r="O27" i="37"/>
  <c r="M27" i="37"/>
  <c r="K27" i="37"/>
  <c r="N27" i="37"/>
  <c r="R27" i="37"/>
  <c r="AH12" i="36"/>
  <c r="AL21" i="36" s="1"/>
  <c r="AC26" i="33"/>
  <c r="Z36" i="36"/>
  <c r="AF28" i="33"/>
  <c r="I32" i="37" s="1"/>
  <c r="O30" i="37"/>
  <c r="J30" i="37"/>
  <c r="Z7" i="36"/>
  <c r="AC22" i="36"/>
  <c r="AB22" i="36"/>
  <c r="R29" i="37"/>
  <c r="K29" i="37"/>
  <c r="K51" i="37" l="1"/>
  <c r="J55" i="37"/>
  <c r="S27" i="37"/>
  <c r="Q27" i="37"/>
  <c r="O38" i="37"/>
  <c r="J38" i="37"/>
  <c r="K38" i="37" s="1"/>
  <c r="AE60" i="33"/>
  <c r="I39" i="37"/>
  <c r="AB60" i="33"/>
  <c r="AF53" i="33"/>
  <c r="AF54" i="33" s="1"/>
  <c r="AC7" i="36"/>
  <c r="Z16" i="36"/>
  <c r="AA36" i="36"/>
  <c r="AF37" i="36" s="1"/>
  <c r="AE29" i="33" s="1"/>
  <c r="AC28" i="33"/>
  <c r="I31" i="37" s="1"/>
  <c r="Z33" i="36"/>
  <c r="O32" i="37"/>
  <c r="J32" i="37"/>
  <c r="AI7" i="36"/>
  <c r="R30" i="37"/>
  <c r="K30" i="37"/>
  <c r="M55" i="37" l="1"/>
  <c r="K55" i="37"/>
  <c r="O55" i="37"/>
  <c r="R55" i="37"/>
  <c r="L55" i="37"/>
  <c r="H55" i="37" s="1"/>
  <c r="G41" i="37" s="1"/>
  <c r="L41" i="37" s="1"/>
  <c r="O39" i="37"/>
  <c r="J39" i="37"/>
  <c r="K39" i="37" s="1"/>
  <c r="AF56" i="33"/>
  <c r="AE57" i="33" s="1"/>
  <c r="AL7" i="36"/>
  <c r="AI16" i="36"/>
  <c r="Z18" i="36"/>
  <c r="Z19" i="36" s="1"/>
  <c r="Z20" i="36" s="1"/>
  <c r="AC11" i="36" s="1"/>
  <c r="AA33" i="36"/>
  <c r="AF34" i="36" s="1"/>
  <c r="AB29" i="33" s="1"/>
  <c r="R32" i="37"/>
  <c r="K32" i="37"/>
  <c r="O31" i="37"/>
  <c r="J31" i="37"/>
  <c r="Q55" i="37" l="1"/>
  <c r="I41" i="37"/>
  <c r="H41" i="37"/>
  <c r="M41" i="37" s="1"/>
  <c r="S55" i="37"/>
  <c r="AB12" i="36"/>
  <c r="AC14" i="36"/>
  <c r="AI18" i="36"/>
  <c r="AI19" i="36" s="1"/>
  <c r="AI20" i="36" s="1"/>
  <c r="AL11" i="36" s="1"/>
  <c r="R31" i="37"/>
  <c r="K31" i="37"/>
  <c r="J41" i="37" l="1"/>
  <c r="K41" i="37" s="1"/>
  <c r="O41" i="37"/>
  <c r="AL14" i="36"/>
  <c r="AK12" i="36"/>
  <c r="AB23" i="36"/>
  <c r="AB15" i="36"/>
  <c r="AC23" i="36" s="1"/>
  <c r="I36" i="37" l="1"/>
  <c r="AK15" i="36"/>
  <c r="AL22" i="36" s="1"/>
  <c r="AK22" i="36"/>
  <c r="I37" i="37" s="1"/>
  <c r="J36" i="37" l="1"/>
  <c r="O36" i="37"/>
  <c r="AD90" i="33"/>
  <c r="AC91" i="33"/>
  <c r="J37" i="37"/>
  <c r="O37" i="37"/>
  <c r="K36" i="37" l="1"/>
  <c r="J43" i="37"/>
  <c r="AV200" i="29" s="1"/>
  <c r="R36" i="37"/>
  <c r="AD89" i="33"/>
  <c r="H35" i="37" s="1"/>
  <c r="M35" i="37" s="1"/>
  <c r="I35" i="37"/>
  <c r="K37" i="37"/>
  <c r="R37" i="37"/>
  <c r="J35" i="37" l="1"/>
  <c r="O35" i="37"/>
  <c r="J42" i="37" l="1"/>
  <c r="L42" i="37" s="1"/>
  <c r="F42" i="37"/>
  <c r="AL46" i="37" s="1"/>
  <c r="R35" i="37"/>
  <c r="K35" i="37"/>
  <c r="O42" i="37" l="1"/>
  <c r="N42" i="37"/>
  <c r="P42" i="37"/>
  <c r="M42" i="37"/>
  <c r="K42" i="37"/>
  <c r="R42" i="37"/>
  <c r="S42" i="37" l="1"/>
  <c r="Q42" i="3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B4" authorId="0" shapeId="0" xr:uid="{F616AE4D-D2B8-4654-B04F-A21C4159218F}">
      <text/>
    </comment>
    <comment ref="B5" authorId="0" shapeId="0" xr:uid="{EA3E1B56-4F9D-4F0A-8915-266917978B12}">
      <text>
        <r>
          <rPr>
            <sz val="9"/>
            <color indexed="81"/>
            <rFont val="Segoe UI"/>
            <family val="2"/>
          </rPr>
          <t xml:space="preserve">
</t>
        </r>
      </text>
    </comment>
    <comment ref="C6" authorId="0" shapeId="0" xr:uid="{0C7AA6F0-A205-4065-90D3-400571393865}">
      <text>
        <r>
          <rPr>
            <b/>
            <sz val="10"/>
            <color indexed="9"/>
            <rFont val="Segoe UI"/>
            <family val="2"/>
          </rPr>
          <t>Largura Máxima = 6 m</t>
        </r>
      </text>
    </comment>
    <comment ref="B19" authorId="0" shapeId="0" xr:uid="{52C89B26-4EE0-4E78-BA54-54D0B942FE98}">
      <text>
        <r>
          <rPr>
            <b/>
            <sz val="10"/>
            <color indexed="9"/>
            <rFont val="Segoe UI"/>
            <family val="2"/>
          </rPr>
          <t>GALGA é a distância máxima entre as faces superiores de duas ripas, que varia conforme o tamanho e o tipo de telha.</t>
        </r>
      </text>
    </comment>
    <comment ref="F36" authorId="0" shapeId="0" xr:uid="{4E1C0231-0397-4582-8A0D-55EA82F2C59C}">
      <text/>
    </comment>
    <comment ref="I36" authorId="0" shapeId="0" xr:uid="{A5D8E430-E629-4B6D-AA71-319093C111AD}">
      <text/>
    </comment>
    <comment ref="B46" authorId="0" shapeId="0" xr:uid="{5D848BD8-E49C-4F5B-90FB-2E6E85F2C150}">
      <text>
        <r>
          <rPr>
            <b/>
            <sz val="10"/>
            <color indexed="9"/>
            <rFont val="Segoe UI"/>
            <family val="2"/>
          </rPr>
          <t>Massa específica aparente a 12% de umidade</t>
        </r>
      </text>
    </comment>
    <comment ref="F46" authorId="0" shapeId="0" xr:uid="{8EFCB7DE-16A8-493B-9A16-9D44885F34B7}">
      <text>
        <r>
          <rPr>
            <b/>
            <sz val="10"/>
            <color indexed="9"/>
            <rFont val="Segoe UI"/>
            <family val="2"/>
          </rPr>
          <t>Resistência à compressão paralela às fibras</t>
        </r>
      </text>
    </comment>
    <comment ref="B47" authorId="0" shapeId="0" xr:uid="{53C7A906-FB37-4585-98F6-BBA141DB294C}">
      <text>
        <r>
          <rPr>
            <b/>
            <sz val="10"/>
            <color indexed="9"/>
            <rFont val="Segoe UI"/>
            <family val="2"/>
          </rPr>
          <t>Módulo de elasticidade longitudinal
(obtido no ensaio de compressão paralela às fibras)</t>
        </r>
      </text>
    </comment>
    <comment ref="F47" authorId="0" shapeId="0" xr:uid="{362809BB-AE7A-46E8-967D-BC2453BAC49B}">
      <text>
        <r>
          <rPr>
            <b/>
            <sz val="10"/>
            <color indexed="9"/>
            <rFont val="Segoe UI"/>
            <family val="2"/>
          </rPr>
          <t>Resistência à tração paralela às fibras</t>
        </r>
      </text>
    </comment>
    <comment ref="B48" authorId="0" shapeId="0" xr:uid="{A83F362E-0E31-46EE-8345-B2E31AB7AFD9}">
      <text>
        <r>
          <rPr>
            <b/>
            <sz val="10"/>
            <color indexed="9"/>
            <rFont val="Segoe UI"/>
            <family val="2"/>
          </rPr>
          <t>Resistência ao cisalhamento</t>
        </r>
      </text>
    </comment>
    <comment ref="F48" authorId="0" shapeId="0" xr:uid="{43E0B16A-864D-4413-8958-1198F5719722}">
      <text>
        <r>
          <rPr>
            <b/>
            <sz val="10"/>
            <color indexed="9"/>
            <rFont val="Segoe UI"/>
            <family val="2"/>
          </rPr>
          <t>Resistência à tração perpendicular às fibras</t>
        </r>
      </text>
    </comment>
    <comment ref="B59" authorId="0" shapeId="0" xr:uid="{F1F977F1-A196-48A1-9472-DB4B18816A23}">
      <text>
        <r>
          <rPr>
            <b/>
            <sz val="10"/>
            <color indexed="9"/>
            <rFont val="Segoe UI"/>
            <family val="2"/>
          </rPr>
          <t>O link leva ao site do software VisualVentos, utilizado para determinação de forças devidas ao vento em edificações de planta retangular e telhados a duas águas, de acordo com as especificações normativas da NBR6123:1987.</t>
        </r>
      </text>
    </comment>
    <comment ref="F64" authorId="0" shapeId="0" xr:uid="{8478FA19-5FF8-4207-9345-B408F1D2DA96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Ismar</author>
  </authors>
  <commentList>
    <comment ref="C17" authorId="0" shapeId="0" xr:uid="{9093E38E-AFBF-4F7B-AA8E-DC7DEDB9F4FB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principal. 
O vento é nulo na direção x.</t>
        </r>
      </text>
    </comment>
    <comment ref="E17" authorId="0" shapeId="0" xr:uid="{8C893D74-0934-4B99-A6A6-BB72333CC940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</t>
        </r>
      </text>
    </comment>
    <comment ref="E20" authorId="0" shapeId="0" xr:uid="{D28CD8C9-14A0-4EF4-A6B9-7F03E2266B00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o vento como carga variável principal</t>
        </r>
      </text>
    </comment>
    <comment ref="J20" authorId="0" shapeId="0" xr:uid="{D2006510-E34D-419F-809D-95CBE55EB4ED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M em torno de y</t>
        </r>
      </text>
    </comment>
    <comment ref="L20" authorId="0" shapeId="0" xr:uid="{6409DF8D-5C74-479A-8489-03F5EC6E41A5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M em torno de x</t>
        </r>
      </text>
    </comment>
    <comment ref="C59" authorId="0" shapeId="0" xr:uid="{EA8ABF85-6FBD-407F-84C8-6FFD306BEDC9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principal. 
O vento é nulo na direção x.</t>
        </r>
      </text>
    </comment>
    <comment ref="E59" authorId="0" shapeId="0" xr:uid="{5B98390E-C540-4698-920C-9388EF13F5F8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</t>
        </r>
      </text>
    </comment>
    <comment ref="E62" authorId="0" shapeId="0" xr:uid="{C30C7490-64FB-4EF1-B817-43715AF87F6C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o vento como carga variável principal</t>
        </r>
      </text>
    </comment>
    <comment ref="O65" authorId="0" shapeId="0" xr:uid="{AF83697C-97E3-4E44-A413-43DACA3C60A5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M em torno de z</t>
        </r>
      </text>
    </comment>
    <comment ref="R103" authorId="0" shapeId="0" xr:uid="{399B44CD-65E9-453D-B262-BE79A7F79F87}">
      <text/>
    </comment>
    <comment ref="C104" authorId="0" shapeId="0" xr:uid="{129EA794-0965-4554-ABA3-E573C4719593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principal. 
O vento é nulo na direção x.</t>
        </r>
      </text>
    </comment>
    <comment ref="E104" authorId="0" shapeId="0" xr:uid="{EC890E96-6355-43CB-AFDF-2A5FEE28E4E8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</t>
        </r>
      </text>
    </comment>
    <comment ref="D105" authorId="0" shapeId="0" xr:uid="{55273991-D61A-4DA3-8CF4-624CE506392D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Fez-se como Moliterno: Usou-se o espaçamento horizontal do montante ao invés do inclinado da diagonal.</t>
        </r>
      </text>
    </comment>
    <comment ref="E107" authorId="0" shapeId="0" xr:uid="{43DFE08B-4528-4862-A1DF-1590A0E6E75D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o vento como carga variável principal</t>
        </r>
      </text>
    </comment>
    <comment ref="J112" authorId="0" shapeId="0" xr:uid="{CE7F0CB0-309C-46F5-87BE-A4AB62747E9C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Por considerarmos a carga em projeção horizontal, utiliza-se o comprimento no plano horizontal também.</t>
        </r>
      </text>
    </comment>
    <comment ref="E135" authorId="0" shapeId="0" xr:uid="{962227BE-8C5A-4A31-8F29-15CC01B4457E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sobrecarga como carga variável principal</t>
        </r>
      </text>
    </comment>
    <comment ref="G135" authorId="0" shapeId="0" xr:uid="{472A8CE8-36FB-4920-9A11-734FEEAE8FD1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Considerando a vento como carga variável principal</t>
        </r>
      </text>
    </comment>
    <comment ref="U137" authorId="0" shapeId="0" xr:uid="{76CE70D6-E1E8-42F1-9236-02651E3C7D50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em y</t>
        </r>
      </text>
    </comment>
    <comment ref="K138" authorId="0" shapeId="0" xr:uid="{E1B544C1-0043-4850-B2AE-8263F5538FF1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M em torno de y</t>
        </r>
      </text>
    </comment>
    <comment ref="M138" authorId="0" shapeId="0" xr:uid="{1B025136-0A18-431F-BB03-CD27457D51C6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M em torno de x</t>
        </r>
      </text>
    </comment>
    <comment ref="U138" authorId="0" shapeId="0" xr:uid="{BD46606F-3F9D-443C-83F6-57CC335D160D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em torno de x</t>
        </r>
      </text>
    </comment>
    <comment ref="E147" authorId="0" shapeId="0" xr:uid="{1F584F0A-EAD1-4A8C-B02A-5CF178C29C09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Projeção de área no plano horizontal</t>
        </r>
      </text>
    </comment>
    <comment ref="D183" authorId="0" shapeId="0" xr:uid="{D8D99FF8-F18C-44B1-9D63-BE8B8CD10FC8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7</t>
        </r>
      </text>
    </comment>
    <comment ref="D184" authorId="0" shapeId="0" xr:uid="{D2224545-E296-46E9-AF09-91F891076C88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9</t>
        </r>
      </text>
    </comment>
    <comment ref="D186" authorId="0" shapeId="0" xr:uid="{1B82530D-5AF4-41AD-8B7A-793AD2B9CC54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6</t>
        </r>
      </text>
    </comment>
    <comment ref="D188" authorId="0" shapeId="0" xr:uid="{7A2DCB73-61E9-4FC3-8681-E2623A273581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2</t>
        </r>
      </text>
    </comment>
    <comment ref="E198" authorId="0" shapeId="0" xr:uid="{63A4A758-A2FB-472C-9C01-83841103DE96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Projeção de área no plano horizontal</t>
        </r>
      </text>
    </comment>
    <comment ref="E207" authorId="0" shapeId="0" xr:uid="{E86E4DBD-F854-4045-A1D7-39BB4FC1CA3A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Projeção de área no plano horizontal</t>
        </r>
      </text>
    </comment>
    <comment ref="E216" authorId="0" shapeId="0" xr:uid="{A237003C-18EE-448D-A463-5FAEB4CD82B5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Projeção de área no plano horizontal</t>
        </r>
      </text>
    </comment>
    <comment ref="D226" authorId="0" shapeId="0" xr:uid="{C42495A1-0318-414C-BC93-E8A837BA8AFA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7</t>
        </r>
      </text>
    </comment>
    <comment ref="D227" authorId="0" shapeId="0" xr:uid="{85BC8521-B17B-4226-B08B-1DA3A81A98A0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9</t>
        </r>
      </text>
    </comment>
    <comment ref="D228" authorId="0" shapeId="0" xr:uid="{67DCB018-8D17-4934-8F77-481CFC2E061D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6</t>
        </r>
      </text>
    </comment>
    <comment ref="D229" authorId="0" shapeId="0" xr:uid="{56823147-74A3-4D3A-9153-AD2B6B2F82B9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Equivale à 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Ismar</author>
  </authors>
  <commentList>
    <comment ref="T12" authorId="0" shapeId="0" xr:uid="{FD43311B-0FBD-45CF-9731-3AF911903294}">
      <text/>
    </comment>
    <comment ref="P27" authorId="0" shapeId="0" xr:uid="{4E2E2ED8-6021-4480-A6F5-13F08B2DF387}">
      <text/>
    </comment>
    <comment ref="AC49" authorId="0" shapeId="0" xr:uid="{62752488-B5A0-4959-8F23-843BCB3250B6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50" authorId="0" shapeId="0" xr:uid="{D71A6032-43A5-4ED8-889C-B592278DB722}">
      <text/>
    </comment>
    <comment ref="AC50" authorId="0" shapeId="0" xr:uid="{3BA298A5-CECF-487C-AD22-1DC5C763F7FC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U51" authorId="0" shapeId="0" xr:uid="{D4E060CC-6B0B-49BE-93DF-083BF944E441}">
      <text/>
    </comment>
    <comment ref="X56" authorId="0" shapeId="0" xr:uid="{73D380C4-574A-4BF3-8C64-AD022D281B64}">
      <text>
        <r>
          <rPr>
            <sz val="9"/>
            <color indexed="81"/>
            <rFont val="Segoe UI"/>
            <family val="2"/>
          </rPr>
          <t xml:space="preserve">
</t>
        </r>
      </text>
    </comment>
    <comment ref="AC73" authorId="0" shapeId="0" xr:uid="{75C134CE-BB06-4F5A-8FCC-3EF244C2050F}">
      <text/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Ismar</author>
  </authors>
  <commentList>
    <comment ref="V2" authorId="0" shapeId="0" xr:uid="{49B16DF1-285B-4CEF-8303-0727957BBA06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todas incluem estrutura de suporte</t>
        </r>
      </text>
    </comment>
    <comment ref="E3" authorId="0" shapeId="0" xr:uid="{10146CDA-A437-4520-B126-E0173E99507C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a massa específica aparente a 12% de umidade</t>
        </r>
      </text>
    </comment>
    <comment ref="F3" authorId="0" shapeId="0" xr:uid="{04EA7F51-2130-4B78-B082-C9D20AC90383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a resistência à compressão paralela às fibras</t>
        </r>
      </text>
    </comment>
    <comment ref="G3" authorId="0" shapeId="0" xr:uid="{50182305-82D2-4153-887C-26309BD13CCE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a resistência à tração paralela às fibras</t>
        </r>
      </text>
    </comment>
    <comment ref="H3" authorId="0" shapeId="0" xr:uid="{BC958A22-C0E7-4AD4-8E5C-2EE308297481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a resistência à tração paralela às fibras</t>
        </r>
      </text>
    </comment>
    <comment ref="I3" authorId="0" shapeId="0" xr:uid="{B6CD5B82-C1BC-41FC-A369-7F4808217E89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a resistência ao cisalhamento</t>
        </r>
      </text>
    </comment>
    <comment ref="J3" authorId="0" shapeId="0" xr:uid="{EBDC5C44-EC02-4EC7-929C-103F077983FC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o módulo de elasticidade longitudinal obtido no ensaio de compressão paralela às fibras</t>
        </r>
      </text>
    </comment>
    <comment ref="K3" authorId="0" shapeId="0" xr:uid="{AB647741-9902-45C4-B665-E9E9F93EAF3A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é o número de corpos-de-prova ensaiados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Ismar</author>
  </authors>
  <commentList>
    <comment ref="R20" authorId="0" shapeId="0" xr:uid="{79BD3267-7985-4D77-8DCC-7850B2AA2ED6}">
      <text>
        <r>
          <rPr>
            <b/>
            <sz val="9"/>
            <color indexed="81"/>
            <rFont val="Segoe UI"/>
            <family val="2"/>
          </rPr>
          <t>Ismar:</t>
        </r>
        <r>
          <rPr>
            <sz val="9"/>
            <color indexed="81"/>
            <rFont val="Segoe UI"/>
            <family val="2"/>
          </rPr>
          <t xml:space="preserve">
1,4*Mk
</t>
        </r>
      </text>
    </comment>
  </commentList>
</comments>
</file>

<file path=xl/sharedStrings.xml><?xml version="1.0" encoding="utf-8"?>
<sst xmlns="http://schemas.openxmlformats.org/spreadsheetml/2006/main" count="1704" uniqueCount="606">
  <si>
    <t>Comprimento</t>
  </si>
  <si>
    <t>Beiral</t>
  </si>
  <si>
    <t>Tipo de telha</t>
  </si>
  <si>
    <t>Telhas</t>
  </si>
  <si>
    <t>Ripas</t>
  </si>
  <si>
    <t>Caibros</t>
  </si>
  <si>
    <t>Terças</t>
  </si>
  <si>
    <t xml:space="preserve">Inclinação mínima </t>
  </si>
  <si>
    <t xml:space="preserve">Rendimento médio </t>
  </si>
  <si>
    <t xml:space="preserve">Galga recomendada </t>
  </si>
  <si>
    <t>Absorção</t>
  </si>
  <si>
    <t>Madeira</t>
  </si>
  <si>
    <t>Inclinação Adotada</t>
  </si>
  <si>
    <t>Tipo de madeira</t>
  </si>
  <si>
    <t>Base</t>
  </si>
  <si>
    <t>Altura</t>
  </si>
  <si>
    <t>l</t>
  </si>
  <si>
    <t>b</t>
  </si>
  <si>
    <t>h</t>
  </si>
  <si>
    <t>c</t>
  </si>
  <si>
    <t>e</t>
  </si>
  <si>
    <t>α</t>
  </si>
  <si>
    <t>cosα</t>
  </si>
  <si>
    <r>
      <t>sen</t>
    </r>
    <r>
      <rPr>
        <sz val="11"/>
        <color theme="0"/>
        <rFont val="Arial"/>
        <family val="2"/>
      </rPr>
      <t>α</t>
    </r>
  </si>
  <si>
    <t>r</t>
  </si>
  <si>
    <t>t</t>
  </si>
  <si>
    <t>a</t>
  </si>
  <si>
    <t>s</t>
  </si>
  <si>
    <t>DIMENSÕES</t>
  </si>
  <si>
    <t>CÁLCULOS DAS DIMENSÕES MACRO DO TELHADO</t>
  </si>
  <si>
    <t xml:space="preserve">TABELA DE MADEIRAS </t>
  </si>
  <si>
    <t>Nome comum</t>
  </si>
  <si>
    <t>MPa</t>
  </si>
  <si>
    <r>
      <t>r</t>
    </r>
    <r>
      <rPr>
        <sz val="5.5"/>
        <color theme="0"/>
        <rFont val="Arial"/>
        <family val="2"/>
      </rPr>
      <t>ap (12%)</t>
    </r>
  </si>
  <si>
    <r>
      <t>f</t>
    </r>
    <r>
      <rPr>
        <vertAlign val="subscript"/>
        <sz val="8.5"/>
        <color theme="0"/>
        <rFont val="Arial"/>
        <family val="2"/>
      </rPr>
      <t>t90</t>
    </r>
  </si>
  <si>
    <r>
      <t>E</t>
    </r>
    <r>
      <rPr>
        <sz val="5.5"/>
        <color theme="0"/>
        <rFont val="Arial"/>
        <family val="2"/>
      </rPr>
      <t>c0</t>
    </r>
  </si>
  <si>
    <r>
      <t>f</t>
    </r>
    <r>
      <rPr>
        <sz val="5.5"/>
        <color theme="0"/>
        <rFont val="Arial"/>
        <family val="2"/>
      </rPr>
      <t>t0</t>
    </r>
  </si>
  <si>
    <r>
      <t>f</t>
    </r>
    <r>
      <rPr>
        <sz val="5.5"/>
        <color theme="0"/>
        <rFont val="Arial"/>
        <family val="2"/>
      </rPr>
      <t>c0</t>
    </r>
  </si>
  <si>
    <r>
      <t>f</t>
    </r>
    <r>
      <rPr>
        <sz val="5.5"/>
        <color theme="0"/>
        <rFont val="Arial"/>
        <family val="2"/>
      </rPr>
      <t>v</t>
    </r>
  </si>
  <si>
    <t>classe de carregamento</t>
  </si>
  <si>
    <t>Longa duração</t>
  </si>
  <si>
    <t>classe de umidade</t>
  </si>
  <si>
    <t>Permanente</t>
  </si>
  <si>
    <t>Média duração</t>
  </si>
  <si>
    <t>Curta duração</t>
  </si>
  <si>
    <t>Instantânea</t>
  </si>
  <si>
    <t>TABELAS KMOD</t>
  </si>
  <si>
    <r>
      <t>K</t>
    </r>
    <r>
      <rPr>
        <vertAlign val="subscript"/>
        <sz val="11"/>
        <color theme="0"/>
        <rFont val="Calibri"/>
        <family val="2"/>
        <scheme val="minor"/>
      </rPr>
      <t>mod1</t>
    </r>
  </si>
  <si>
    <r>
      <t>K</t>
    </r>
    <r>
      <rPr>
        <vertAlign val="subscript"/>
        <sz val="11"/>
        <color theme="0"/>
        <rFont val="Calibri"/>
        <family val="2"/>
        <scheme val="minor"/>
      </rPr>
      <t>mod2</t>
    </r>
  </si>
  <si>
    <t>Para umidade de</t>
  </si>
  <si>
    <t>kg/m3</t>
  </si>
  <si>
    <t>TABELA TELHAS</t>
  </si>
  <si>
    <t>Portuguesa</t>
  </si>
  <si>
    <t>Americana</t>
  </si>
  <si>
    <t>Colonial Média</t>
  </si>
  <si>
    <t>Colonial Grande</t>
  </si>
  <si>
    <t>Telha</t>
  </si>
  <si>
    <t>Rendimento</t>
  </si>
  <si>
    <t>Peso</t>
  </si>
  <si>
    <t>Galga Recomendada</t>
  </si>
  <si>
    <t>Inclinação Mínima</t>
  </si>
  <si>
    <t>Q</t>
  </si>
  <si>
    <t>V</t>
  </si>
  <si>
    <t>Ação</t>
  </si>
  <si>
    <t>-</t>
  </si>
  <si>
    <t>Sobrecarga</t>
  </si>
  <si>
    <t>Vento</t>
  </si>
  <si>
    <t>γ</t>
  </si>
  <si>
    <t>Comb 1</t>
  </si>
  <si>
    <t>eixo x</t>
  </si>
  <si>
    <t>eixo y</t>
  </si>
  <si>
    <t>Comb 2</t>
  </si>
  <si>
    <t>Eixo x</t>
  </si>
  <si>
    <t>Eixo y</t>
  </si>
  <si>
    <t>ELU</t>
  </si>
  <si>
    <t>ELS</t>
  </si>
  <si>
    <t>Resultado</t>
  </si>
  <si>
    <t>DIAGRAMAS</t>
  </si>
  <si>
    <t>RIPAS</t>
  </si>
  <si>
    <t>Carga concentrada de 1kN</t>
  </si>
  <si>
    <t>Carga Distriuída Permanente</t>
  </si>
  <si>
    <t>Carga 1kN + permanente</t>
  </si>
  <si>
    <t>Coeficientes</t>
  </si>
  <si>
    <t>CAIBROS</t>
  </si>
  <si>
    <t>eixo z</t>
  </si>
  <si>
    <t>TERÇAS</t>
  </si>
  <si>
    <t>TRELIÇAS</t>
  </si>
  <si>
    <t>A</t>
  </si>
  <si>
    <t>B</t>
  </si>
  <si>
    <t>C</t>
  </si>
  <si>
    <t>D</t>
  </si>
  <si>
    <t>E</t>
  </si>
  <si>
    <t>F</t>
  </si>
  <si>
    <t>Nó</t>
  </si>
  <si>
    <t>Ax</t>
  </si>
  <si>
    <t>Forro</t>
  </si>
  <si>
    <t>Cargas de Projeto Concentradas nos Nós e DEN</t>
  </si>
  <si>
    <t>Esforço Solicitante</t>
  </si>
  <si>
    <t>Dados comuns</t>
  </si>
  <si>
    <t>Em torno do Eixo X</t>
  </si>
  <si>
    <r>
      <t>f</t>
    </r>
    <r>
      <rPr>
        <vertAlign val="subscript"/>
        <sz val="11"/>
        <color theme="0"/>
        <rFont val="Calibri"/>
        <family val="2"/>
        <scheme val="minor"/>
      </rPr>
      <t>cd</t>
    </r>
  </si>
  <si>
    <t>Cisalhamento</t>
  </si>
  <si>
    <t>Deslocamento</t>
  </si>
  <si>
    <t>Em torno do Eixo Y</t>
  </si>
  <si>
    <t>Flexão Composta Oblíqua</t>
  </si>
  <si>
    <t>δ</t>
  </si>
  <si>
    <t>Classificação da Barra</t>
  </si>
  <si>
    <t>λ</t>
  </si>
  <si>
    <t>i</t>
  </si>
  <si>
    <t>CORES</t>
  </si>
  <si>
    <t>#00FA65</t>
  </si>
  <si>
    <t>#FF0D35</t>
  </si>
  <si>
    <t>φ</t>
  </si>
  <si>
    <t>classe de umidade (1) e (2)</t>
  </si>
  <si>
    <t>classe de umidade (3) e (3)</t>
  </si>
  <si>
    <r>
      <t>M</t>
    </r>
    <r>
      <rPr>
        <vertAlign val="subscript"/>
        <sz val="11"/>
        <color theme="0"/>
        <rFont val="Calibri"/>
        <family val="2"/>
        <scheme val="minor"/>
      </rPr>
      <t>d</t>
    </r>
  </si>
  <si>
    <r>
      <rPr>
        <sz val="11"/>
        <color theme="0"/>
        <rFont val="Times New Roman"/>
        <family val="1"/>
      </rPr>
      <t>σ</t>
    </r>
    <r>
      <rPr>
        <vertAlign val="subscript"/>
        <sz val="11"/>
        <color theme="0"/>
        <rFont val="Calibri"/>
        <family val="2"/>
      </rPr>
      <t>Nd</t>
    </r>
  </si>
  <si>
    <t>Valor</t>
  </si>
  <si>
    <r>
      <rPr>
        <sz val="11"/>
        <color theme="0"/>
        <rFont val="Times New Roman"/>
        <family val="1"/>
      </rPr>
      <t>σ</t>
    </r>
    <r>
      <rPr>
        <vertAlign val="subscript"/>
        <sz val="11"/>
        <color theme="0"/>
        <rFont val="Calibri"/>
        <family val="2"/>
      </rPr>
      <t>Md</t>
    </r>
  </si>
  <si>
    <t>Esbeltez no Plano</t>
  </si>
  <si>
    <t>Esbeltez Fora do Plano</t>
  </si>
  <si>
    <t>Seções</t>
  </si>
  <si>
    <t>b (cm)</t>
  </si>
  <si>
    <t>h (cm)</t>
  </si>
  <si>
    <t>5X1,5</t>
  </si>
  <si>
    <t>Flexão Oblíqua</t>
  </si>
  <si>
    <t>TRELIÇA</t>
  </si>
  <si>
    <t>T. UMIDADE</t>
  </si>
  <si>
    <t xml:space="preserve">CORTANTE </t>
  </si>
  <si>
    <t>MOMENTO</t>
  </si>
  <si>
    <t>1KN</t>
  </si>
  <si>
    <t>NORMAL</t>
  </si>
  <si>
    <t>BARRA</t>
  </si>
  <si>
    <t>POSIÇÃO</t>
  </si>
  <si>
    <t>ao longo de eixo x</t>
  </si>
  <si>
    <t>ao longo de eixo y</t>
  </si>
  <si>
    <t>Propriedades geométricas</t>
  </si>
  <si>
    <t>Compressão Normal</t>
  </si>
  <si>
    <t xml:space="preserve">Verificação </t>
  </si>
  <si>
    <r>
      <t>σ</t>
    </r>
    <r>
      <rPr>
        <vertAlign val="subscript"/>
        <sz val="11"/>
        <color theme="0"/>
        <rFont val="Calibri"/>
        <family val="2"/>
        <scheme val="minor"/>
      </rPr>
      <t>Md</t>
    </r>
  </si>
  <si>
    <r>
      <t>σ</t>
    </r>
    <r>
      <rPr>
        <vertAlign val="subscript"/>
        <sz val="11"/>
        <color theme="0"/>
        <rFont val="Calibri"/>
        <family val="2"/>
        <scheme val="minor"/>
      </rPr>
      <t>Nd</t>
    </r>
  </si>
  <si>
    <t>CURTA</t>
  </si>
  <si>
    <t>PEÇA ESBELTA</t>
  </si>
  <si>
    <t>l/b</t>
  </si>
  <si>
    <t>h/b</t>
  </si>
  <si>
    <t>L</t>
  </si>
  <si>
    <t>Estabilidade Lateral</t>
  </si>
  <si>
    <t>Classes</t>
  </si>
  <si>
    <t>Madeira&gt;</t>
  </si>
  <si>
    <t>grav.</t>
  </si>
  <si>
    <r>
      <t>d</t>
    </r>
    <r>
      <rPr>
        <vertAlign val="subscript"/>
        <sz val="11"/>
        <color theme="0"/>
        <rFont val="Calibri"/>
        <family val="2"/>
        <scheme val="minor"/>
      </rPr>
      <t>2</t>
    </r>
  </si>
  <si>
    <r>
      <t>d</t>
    </r>
    <r>
      <rPr>
        <vertAlign val="subscript"/>
        <sz val="11"/>
        <color theme="0"/>
        <rFont val="Calibri"/>
        <family val="2"/>
        <scheme val="minor"/>
      </rPr>
      <t>1</t>
    </r>
  </si>
  <si>
    <r>
      <t>v</t>
    </r>
    <r>
      <rPr>
        <vertAlign val="subscript"/>
        <sz val="11"/>
        <color theme="0"/>
        <rFont val="Calibri"/>
        <family val="2"/>
        <scheme val="minor"/>
      </rPr>
      <t>1</t>
    </r>
  </si>
  <si>
    <r>
      <t>v</t>
    </r>
    <r>
      <rPr>
        <vertAlign val="subscript"/>
        <sz val="11"/>
        <color theme="0"/>
        <rFont val="Calibri"/>
        <family val="2"/>
        <scheme val="minor"/>
      </rPr>
      <t>2</t>
    </r>
  </si>
  <si>
    <t>m</t>
  </si>
  <si>
    <r>
      <t>δ</t>
    </r>
    <r>
      <rPr>
        <vertAlign val="subscript"/>
        <sz val="11"/>
        <color theme="0"/>
        <rFont val="Calibri"/>
        <family val="2"/>
      </rPr>
      <t>y</t>
    </r>
  </si>
  <si>
    <t>Ltotal</t>
  </si>
  <si>
    <t>K</t>
  </si>
  <si>
    <t>α =</t>
  </si>
  <si>
    <t>N1</t>
  </si>
  <si>
    <t>N8</t>
  </si>
  <si>
    <t>N3</t>
  </si>
  <si>
    <t>BANZO SUPERIOR</t>
  </si>
  <si>
    <t>DIAGONAL</t>
  </si>
  <si>
    <t>BANZO INFERIOR</t>
  </si>
  <si>
    <t>MONTANTE</t>
  </si>
  <si>
    <t>Barras Comprimidas</t>
  </si>
  <si>
    <t>q</t>
  </si>
  <si>
    <r>
      <t>h</t>
    </r>
    <r>
      <rPr>
        <vertAlign val="subscript"/>
        <sz val="11"/>
        <color theme="0"/>
        <rFont val="Calibri"/>
        <family val="2"/>
        <scheme val="minor"/>
      </rPr>
      <t>i</t>
    </r>
  </si>
  <si>
    <r>
      <t>α</t>
    </r>
    <r>
      <rPr>
        <vertAlign val="subscript"/>
        <sz val="11"/>
        <color theme="0"/>
        <rFont val="Calibri"/>
        <family val="2"/>
        <scheme val="minor"/>
      </rPr>
      <t>i</t>
    </r>
  </si>
  <si>
    <t>Ao longo do eixo y</t>
  </si>
  <si>
    <t>Ao longo do eixo x</t>
  </si>
  <si>
    <t>1 kN EM CADA NÓ</t>
  </si>
  <si>
    <t>Deslocamento Y</t>
  </si>
  <si>
    <t>Cisalhamento Y</t>
  </si>
  <si>
    <t>qy</t>
  </si>
  <si>
    <t>6x13</t>
  </si>
  <si>
    <t>6x20</t>
  </si>
  <si>
    <t>7x14</t>
  </si>
  <si>
    <t>7x18</t>
  </si>
  <si>
    <t>10x20</t>
  </si>
  <si>
    <t>10x30</t>
  </si>
  <si>
    <t>5x6</t>
  </si>
  <si>
    <t>5x7</t>
  </si>
  <si>
    <t>6x12</t>
  </si>
  <si>
    <t>5x2,5</t>
  </si>
  <si>
    <t>5x2</t>
  </si>
  <si>
    <t>espaçamento da ripa</t>
  </si>
  <si>
    <t>esp</t>
  </si>
  <si>
    <r>
      <rPr>
        <sz val="11"/>
        <color theme="0"/>
        <rFont val="Times New Roman"/>
        <family val="1"/>
      </rPr>
      <t>σ</t>
    </r>
    <r>
      <rPr>
        <vertAlign val="subscript"/>
        <sz val="11"/>
        <color theme="0"/>
        <rFont val="Calibri"/>
        <family val="2"/>
      </rPr>
      <t>NdX</t>
    </r>
  </si>
  <si>
    <r>
      <t>N</t>
    </r>
    <r>
      <rPr>
        <vertAlign val="subscript"/>
        <sz val="11"/>
        <color theme="0"/>
        <rFont val="Calibri"/>
        <family val="2"/>
        <scheme val="minor"/>
      </rPr>
      <t>Vk</t>
    </r>
    <r>
      <rPr>
        <sz val="11"/>
        <color theme="0"/>
        <rFont val="Calibri"/>
        <family val="2"/>
        <scheme val="minor"/>
      </rPr>
      <t xml:space="preserve"> - VALOR CARACTERÍSTICO</t>
    </r>
  </si>
  <si>
    <r>
      <t>N</t>
    </r>
    <r>
      <rPr>
        <vertAlign val="subscript"/>
        <sz val="11"/>
        <color theme="0"/>
        <rFont val="Calibri"/>
        <family val="2"/>
        <scheme val="minor"/>
      </rPr>
      <t>Qk</t>
    </r>
    <r>
      <rPr>
        <sz val="11"/>
        <color theme="0"/>
        <rFont val="Calibri"/>
        <family val="2"/>
        <scheme val="minor"/>
      </rPr>
      <t xml:space="preserve"> - VALOR DE CARCATERÍSTICO</t>
    </r>
  </si>
  <si>
    <r>
      <t>N</t>
    </r>
    <r>
      <rPr>
        <vertAlign val="subscript"/>
        <sz val="11"/>
        <color theme="0"/>
        <rFont val="Calibri"/>
        <family val="2"/>
        <scheme val="minor"/>
      </rPr>
      <t>d</t>
    </r>
    <r>
      <rPr>
        <sz val="11"/>
        <color theme="0"/>
        <rFont val="Calibri"/>
        <family val="2"/>
        <scheme val="minor"/>
      </rPr>
      <t xml:space="preserve"> - VALOR DE PROJETO</t>
    </r>
  </si>
  <si>
    <t>espaçamento do caibro</t>
  </si>
  <si>
    <t>espaçamento da terça</t>
  </si>
  <si>
    <t>5x8</t>
  </si>
  <si>
    <t>BANZO INFERIOR COMPLETO</t>
  </si>
  <si>
    <t>BANZO INFERIOR - Barra 1</t>
  </si>
  <si>
    <t>BANZO INFERIOR - COMPLETO</t>
  </si>
  <si>
    <t>Barras tracionadas - esbeltez FORA do plano</t>
  </si>
  <si>
    <t>Barras tracionadas - esbeltez DENTRO do plano</t>
  </si>
  <si>
    <t>INCLINADAS</t>
  </si>
  <si>
    <t>RETAS</t>
  </si>
  <si>
    <t>Carga Distriuída G</t>
  </si>
  <si>
    <t>Carga de 1kN</t>
  </si>
  <si>
    <t>P</t>
  </si>
  <si>
    <t>TERÇAS INCLINADA</t>
  </si>
  <si>
    <t>TERÇAS RETA</t>
  </si>
  <si>
    <t>EIXO Y</t>
  </si>
  <si>
    <t>TERÇAS RETAS</t>
  </si>
  <si>
    <t>TERÇAS INCLINADAS</t>
  </si>
  <si>
    <t>eixo y - (Vy e Mx)</t>
  </si>
  <si>
    <t>Terça Inclinada</t>
  </si>
  <si>
    <t>TIPO</t>
  </si>
  <si>
    <t>6X18</t>
  </si>
  <si>
    <t>6X16</t>
  </si>
  <si>
    <t>Tipo</t>
  </si>
  <si>
    <r>
      <t>δ</t>
    </r>
    <r>
      <rPr>
        <vertAlign val="subscript"/>
        <sz val="11"/>
        <color theme="0"/>
        <rFont val="Calibri"/>
        <family val="2"/>
      </rPr>
      <t>y,1kN</t>
    </r>
  </si>
  <si>
    <r>
      <t>δ</t>
    </r>
    <r>
      <rPr>
        <vertAlign val="subscript"/>
        <sz val="11"/>
        <color theme="0"/>
        <rFont val="Calibri"/>
        <family val="2"/>
      </rPr>
      <t>y,normal</t>
    </r>
  </si>
  <si>
    <t>δy</t>
  </si>
  <si>
    <r>
      <t>δ</t>
    </r>
    <r>
      <rPr>
        <vertAlign val="subscript"/>
        <sz val="11"/>
        <color theme="0"/>
        <rFont val="Calibri"/>
        <family val="2"/>
      </rPr>
      <t>x</t>
    </r>
  </si>
  <si>
    <t>TERÇA INC</t>
  </si>
  <si>
    <r>
      <t>δ</t>
    </r>
    <r>
      <rPr>
        <b/>
        <vertAlign val="subscript"/>
        <sz val="11"/>
        <color theme="0"/>
        <rFont val="Calibri"/>
        <family val="2"/>
        <scheme val="minor"/>
      </rPr>
      <t>1kN</t>
    </r>
  </si>
  <si>
    <r>
      <t>δ</t>
    </r>
    <r>
      <rPr>
        <vertAlign val="subscript"/>
        <sz val="11"/>
        <color theme="0"/>
        <rFont val="Arial"/>
        <family val="2"/>
      </rPr>
      <t>normal</t>
    </r>
  </si>
  <si>
    <r>
      <t>δ</t>
    </r>
    <r>
      <rPr>
        <vertAlign val="subscript"/>
        <sz val="11"/>
        <color theme="0"/>
        <rFont val="Calibri"/>
        <family val="2"/>
        <scheme val="minor"/>
      </rPr>
      <t>final</t>
    </r>
  </si>
  <si>
    <r>
      <t>V</t>
    </r>
    <r>
      <rPr>
        <vertAlign val="subscript"/>
        <sz val="11"/>
        <color theme="0"/>
        <rFont val="Calibri"/>
        <family val="2"/>
        <scheme val="minor"/>
      </rPr>
      <t>A</t>
    </r>
    <r>
      <rPr>
        <sz val="11"/>
        <color theme="0"/>
        <rFont val="Calibri"/>
        <family val="2"/>
        <scheme val="minor"/>
      </rPr>
      <t>=V</t>
    </r>
    <r>
      <rPr>
        <vertAlign val="subscript"/>
        <sz val="11"/>
        <color theme="0"/>
        <rFont val="Calibri"/>
        <family val="2"/>
        <scheme val="minor"/>
      </rPr>
      <t>B</t>
    </r>
    <r>
      <rPr>
        <sz val="11"/>
        <color theme="0"/>
        <rFont val="Calibri"/>
        <family val="2"/>
        <scheme val="minor"/>
      </rPr>
      <t>=</t>
    </r>
  </si>
  <si>
    <t>Flexão oblíqua</t>
  </si>
  <si>
    <t>Compressão normal às fibras</t>
  </si>
  <si>
    <t>res</t>
  </si>
  <si>
    <t>solic</t>
  </si>
  <si>
    <t>%</t>
  </si>
  <si>
    <t>GERAL</t>
  </si>
  <si>
    <t>Flambagem Lateral</t>
  </si>
  <si>
    <t>Compressão normal às fibras x</t>
  </si>
  <si>
    <t>Compressão normal às fibras y</t>
  </si>
  <si>
    <t>TABELA FORROS</t>
  </si>
  <si>
    <t>Carga</t>
  </si>
  <si>
    <t>unidade</t>
  </si>
  <si>
    <t>TELHAS</t>
  </si>
  <si>
    <t>m²</t>
  </si>
  <si>
    <t>qt</t>
  </si>
  <si>
    <t>Valor dos materiais</t>
  </si>
  <si>
    <t>Ripa</t>
  </si>
  <si>
    <t>Caibro</t>
  </si>
  <si>
    <t>Terça</t>
  </si>
  <si>
    <t>Treliça</t>
  </si>
  <si>
    <t>R$</t>
  </si>
  <si>
    <t>R$ TOTAL</t>
  </si>
  <si>
    <t>Canal Piauí</t>
  </si>
  <si>
    <t>Valores de Projeto - Fd</t>
  </si>
  <si>
    <t>senα</t>
  </si>
  <si>
    <t>Carregamentos Atuantes</t>
  </si>
  <si>
    <t>Resistência da Madeira</t>
  </si>
  <si>
    <t>Carregamentos Permanentes</t>
  </si>
  <si>
    <t>Carregamentos Variáveis</t>
  </si>
  <si>
    <t>eixo x - (Vx e My)</t>
  </si>
  <si>
    <t>Ao longo de eixo x</t>
  </si>
  <si>
    <t>Ao longo de eixo y</t>
  </si>
  <si>
    <t>Eixo y - (Vy e Mz)</t>
  </si>
  <si>
    <t>Eixo x - (Nx)</t>
  </si>
  <si>
    <t>ESFORÇOS</t>
  </si>
  <si>
    <t>Esforços Solicitantes</t>
  </si>
  <si>
    <t>Ambiente</t>
  </si>
  <si>
    <t>Classe de umidade</t>
  </si>
  <si>
    <t>Verificações</t>
  </si>
  <si>
    <t>kN/cm²</t>
  </si>
  <si>
    <t>cm</t>
  </si>
  <si>
    <t>Ação do Vento</t>
  </si>
  <si>
    <t>PVC</t>
  </si>
  <si>
    <t>Gesso em placas</t>
  </si>
  <si>
    <t>Gesso acartonado</t>
  </si>
  <si>
    <t>Fibra mineral</t>
  </si>
  <si>
    <t>Placas de alumínio</t>
  </si>
  <si>
    <t xml:space="preserve"> </t>
  </si>
  <si>
    <t>CONTENÇÕES</t>
  </si>
  <si>
    <t>FLEXOCOMPRESSÃO EM Y</t>
  </si>
  <si>
    <t>FLEXOCOMPRESSÃO EM Z</t>
  </si>
  <si>
    <t>Compressão Normal - Carga em X</t>
  </si>
  <si>
    <t>Compressão Normal - Carga em Y</t>
  </si>
  <si>
    <t>Comp. Normal às fibras (apoios da treliça)</t>
  </si>
  <si>
    <t>6X1</t>
  </si>
  <si>
    <t>ERRO</t>
  </si>
  <si>
    <r>
      <t>NÃO ATENDE (</t>
    </r>
    <r>
      <rPr>
        <b/>
        <sz val="9"/>
        <color theme="0"/>
        <rFont val="Arial"/>
        <family val="2"/>
      </rPr>
      <t xml:space="preserve">λ </t>
    </r>
    <r>
      <rPr>
        <b/>
        <sz val="9"/>
        <color theme="0"/>
        <rFont val="Calibri"/>
        <family val="2"/>
        <scheme val="minor"/>
      </rPr>
      <t>&gt; 140)</t>
    </r>
  </si>
  <si>
    <t>MONTANTE - Barra 5</t>
  </si>
  <si>
    <t>DIAGONAL - Barra 4</t>
  </si>
  <si>
    <t>BANZO SUPERIOR - Barra 3</t>
  </si>
  <si>
    <t>MONTENTE - BARRA 5</t>
  </si>
  <si>
    <t>N4</t>
  </si>
  <si>
    <t>N5</t>
  </si>
  <si>
    <t>senα =</t>
  </si>
  <si>
    <t>cosα =</t>
  </si>
  <si>
    <t>v=</t>
  </si>
  <si>
    <t>h=</t>
  </si>
  <si>
    <t>Romana</t>
  </si>
  <si>
    <t>Painéis solares fotovoltaicos</t>
  </si>
  <si>
    <t>Possui</t>
  </si>
  <si>
    <t>Painéis solares</t>
  </si>
  <si>
    <t>Sim</t>
  </si>
  <si>
    <t>Não</t>
  </si>
  <si>
    <t>Superfície</t>
  </si>
  <si>
    <t>Combinações de Ações</t>
  </si>
  <si>
    <t>Os resultados dessa ferramenta são de responsabilidade do usuário.</t>
  </si>
  <si>
    <t>Orientador: Eduardo Martins Fontes do Rêgo</t>
  </si>
  <si>
    <t>Esta planilha foi desenvolvida para a verificação de dimensionamentos voltados a coberturas em estruturas de madeira, a sua elaboração ocorreu durante um Trabalho de Conclusão de Curso de graduação em Engenharia Civil.</t>
  </si>
  <si>
    <t>e_eduardofontes@ufpi.edu.br</t>
  </si>
  <si>
    <t>(1)</t>
  </si>
  <si>
    <t>(2)</t>
  </si>
  <si>
    <t>(3)</t>
  </si>
  <si>
    <t>(4)</t>
  </si>
  <si>
    <t>E005</t>
  </si>
  <si>
    <t>fc0k</t>
  </si>
  <si>
    <t>λrely</t>
  </si>
  <si>
    <r>
      <rPr>
        <sz val="11"/>
        <color theme="0"/>
        <rFont val="Calibri"/>
        <family val="2"/>
      </rPr>
      <t>ϐ</t>
    </r>
    <r>
      <rPr>
        <sz val="9.35"/>
        <color theme="0"/>
        <rFont val="Calibri"/>
        <family val="1"/>
      </rPr>
      <t>c</t>
    </r>
  </si>
  <si>
    <t>ky</t>
  </si>
  <si>
    <t>kcy</t>
  </si>
  <si>
    <t>ψ1</t>
  </si>
  <si>
    <t>Comb - V principal</t>
  </si>
  <si>
    <t>1kN sem CofSeg</t>
  </si>
  <si>
    <t>λrelz</t>
  </si>
  <si>
    <t>kz</t>
  </si>
  <si>
    <t>kcz</t>
  </si>
  <si>
    <r>
      <t>δ</t>
    </r>
    <r>
      <rPr>
        <vertAlign val="subscript"/>
        <sz val="11"/>
        <color theme="0"/>
        <rFont val="Calibri"/>
        <family val="2"/>
      </rPr>
      <t>lim</t>
    </r>
  </si>
  <si>
    <t>Em torno do Eixo x</t>
  </si>
  <si>
    <t>CONSERVADOR TENSÃO X E Y</t>
  </si>
  <si>
    <t>δlim</t>
  </si>
  <si>
    <r>
      <t>δ</t>
    </r>
    <r>
      <rPr>
        <vertAlign val="subscript"/>
        <sz val="11"/>
        <color theme="0"/>
        <rFont val="Calibri"/>
        <family val="2"/>
        <scheme val="minor"/>
      </rPr>
      <t>inst</t>
    </r>
  </si>
  <si>
    <t>Deslocamento X</t>
  </si>
  <si>
    <t>Coef. de fluência</t>
  </si>
  <si>
    <t>Φ</t>
  </si>
  <si>
    <t>Q - Plano horizontal</t>
  </si>
  <si>
    <t>A - Plano da cobertura</t>
  </si>
  <si>
    <t>Comb 1 - Q principal</t>
  </si>
  <si>
    <t>Comb 2 - V principal</t>
  </si>
  <si>
    <t>ELS - Flecha instantânea</t>
  </si>
  <si>
    <t>ELS - Flecha final</t>
  </si>
  <si>
    <t>Deslocamento instantâneo</t>
  </si>
  <si>
    <t>Deslocamento final</t>
  </si>
  <si>
    <t>Verificação - mais crítica</t>
  </si>
  <si>
    <t>Deslocamento Y - crítico</t>
  </si>
  <si>
    <t>Instantâneo</t>
  </si>
  <si>
    <t>Deslocamento Final</t>
  </si>
  <si>
    <t>Final</t>
  </si>
  <si>
    <t>Verificação - crítica</t>
  </si>
  <si>
    <t>Barras Tracionadas - An=0,75Ag</t>
  </si>
  <si>
    <t>V - Plano da cobertura</t>
  </si>
  <si>
    <t>δy,lim</t>
  </si>
  <si>
    <t>Verificação -crítica</t>
  </si>
  <si>
    <t>Deslocamento Instantâneo</t>
  </si>
  <si>
    <t>Deslocamento - mais crítico</t>
  </si>
  <si>
    <r>
      <t>δ</t>
    </r>
    <r>
      <rPr>
        <vertAlign val="subscript"/>
        <sz val="11"/>
        <color theme="0"/>
        <rFont val="Calibri"/>
        <family val="2"/>
        <scheme val="minor"/>
      </rPr>
      <t>máx</t>
    </r>
  </si>
  <si>
    <t>DASHBOARD</t>
  </si>
  <si>
    <t>ELS - INSTANTÂNEO</t>
  </si>
  <si>
    <t>ELS - Flecha instantãnea</t>
  </si>
  <si>
    <t>ELS - PTV - Carga 1kN</t>
  </si>
  <si>
    <r>
      <t>N</t>
    </r>
    <r>
      <rPr>
        <vertAlign val="subscript"/>
        <sz val="11"/>
        <color theme="0"/>
        <rFont val="Calibri"/>
        <family val="2"/>
        <scheme val="minor"/>
      </rPr>
      <t>Gk</t>
    </r>
    <r>
      <rPr>
        <sz val="11"/>
        <color theme="0"/>
        <rFont val="Calibri"/>
        <family val="2"/>
        <scheme val="minor"/>
      </rPr>
      <t xml:space="preserve"> - INSTANTÂNEO</t>
    </r>
  </si>
  <si>
    <t>TRELIÇA -Instantâneo</t>
  </si>
  <si>
    <t>TRELIÇA -PTV - 1KN</t>
  </si>
  <si>
    <t>TRELIÇA -FINAL</t>
  </si>
  <si>
    <t>INSTANTANEA</t>
  </si>
  <si>
    <t>fluência = 2 deltaelástico</t>
  </si>
  <si>
    <t>FINAL</t>
  </si>
  <si>
    <t>ESFORÇOS NORMAIS</t>
  </si>
  <si>
    <t>Ni - Inst.</t>
  </si>
  <si>
    <t>Nf - Final</t>
  </si>
  <si>
    <t>Nv - PTV</t>
  </si>
  <si>
    <t>Ni∙Nv∙L</t>
  </si>
  <si>
    <t>Nf∙Nv∙L</t>
  </si>
  <si>
    <t>Compressão</t>
  </si>
  <si>
    <t>Flexão Reta</t>
  </si>
  <si>
    <t>Flexão reta</t>
  </si>
  <si>
    <t>Flexocompressão</t>
  </si>
  <si>
    <t>BANZO SUPERIOR COMPLETO</t>
  </si>
  <si>
    <t>Flexão simples</t>
  </si>
  <si>
    <t xml:space="preserve">Flexocompressão </t>
  </si>
  <si>
    <t>β</t>
  </si>
  <si>
    <t>kN</t>
  </si>
  <si>
    <t>Entalhe</t>
  </si>
  <si>
    <t>Verificação</t>
  </si>
  <si>
    <t>Dente</t>
  </si>
  <si>
    <t>Folga</t>
  </si>
  <si>
    <t>Nó A</t>
  </si>
  <si>
    <t>Nó B</t>
  </si>
  <si>
    <t>Nó D</t>
  </si>
  <si>
    <t>Nó F</t>
  </si>
  <si>
    <t>rad</t>
  </si>
  <si>
    <t>°</t>
  </si>
  <si>
    <t>Para sugestões ou correções sobre a planilha e outros assuntos</t>
  </si>
  <si>
    <t>Dados de Entrada</t>
  </si>
  <si>
    <t>Dimensões da Planta de Cobertura</t>
  </si>
  <si>
    <t>Largura</t>
  </si>
  <si>
    <t>Apoio(larg)</t>
  </si>
  <si>
    <t>Propriedades das Telhas</t>
  </si>
  <si>
    <t>Peso por elemento</t>
  </si>
  <si>
    <t>Trama e Terças - Dimensões</t>
  </si>
  <si>
    <t>Espaçamento</t>
  </si>
  <si>
    <t>Treliças - Dimensões e Contenções</t>
  </si>
  <si>
    <t>Contenções no banzo</t>
  </si>
  <si>
    <t>Inferior</t>
  </si>
  <si>
    <t>Superior</t>
  </si>
  <si>
    <t>Propriedades da Madeira</t>
  </si>
  <si>
    <r>
      <t>ρ</t>
    </r>
    <r>
      <rPr>
        <vertAlign val="subscript"/>
        <sz val="9"/>
        <color rgb="FFA0A9B6"/>
        <rFont val="Segoe UI Semibold"/>
        <family val="2"/>
      </rPr>
      <t>ap (12%)</t>
    </r>
  </si>
  <si>
    <r>
      <t>f</t>
    </r>
    <r>
      <rPr>
        <vertAlign val="subscript"/>
        <sz val="9"/>
        <color rgb="FFA0A9B6"/>
        <rFont val="Segoe UI Semibold"/>
        <family val="2"/>
      </rPr>
      <t>c0</t>
    </r>
  </si>
  <si>
    <r>
      <t>E</t>
    </r>
    <r>
      <rPr>
        <vertAlign val="subscript"/>
        <sz val="9"/>
        <color rgb="FFA0A9B6"/>
        <rFont val="Segoe UI Semibold"/>
        <family val="2"/>
      </rPr>
      <t>c0</t>
    </r>
  </si>
  <si>
    <r>
      <t>f</t>
    </r>
    <r>
      <rPr>
        <vertAlign val="subscript"/>
        <sz val="9"/>
        <color rgb="FFA0A9B6"/>
        <rFont val="Segoe UI Semibold"/>
        <family val="2"/>
      </rPr>
      <t>t0</t>
    </r>
  </si>
  <si>
    <r>
      <t>f</t>
    </r>
    <r>
      <rPr>
        <vertAlign val="subscript"/>
        <sz val="9"/>
        <color rgb="FFA0A9B6"/>
        <rFont val="Segoe UI Semibold"/>
        <family val="2"/>
      </rPr>
      <t>v</t>
    </r>
  </si>
  <si>
    <r>
      <t>f</t>
    </r>
    <r>
      <rPr>
        <vertAlign val="subscript"/>
        <sz val="9"/>
        <color rgb="FFA0A9B6"/>
        <rFont val="Segoe UI Semibold"/>
        <family val="2"/>
      </rPr>
      <t>t90</t>
    </r>
  </si>
  <si>
    <t>Outras Cargas Permanentes</t>
  </si>
  <si>
    <t>% Coberta</t>
  </si>
  <si>
    <t>Cargas Variáveis</t>
  </si>
  <si>
    <t>Não Possui</t>
  </si>
  <si>
    <t>RIPA</t>
  </si>
  <si>
    <t>CAIBRO</t>
  </si>
  <si>
    <t>TERÇA</t>
  </si>
  <si>
    <t>Esbeltez no plano - Barra 1</t>
  </si>
  <si>
    <t>Esbeltez no plano - Barra 5</t>
  </si>
  <si>
    <t>Tração - Barra 1</t>
  </si>
  <si>
    <t>Tração - Barra 5</t>
  </si>
  <si>
    <t>Compressão - Barra 3</t>
  </si>
  <si>
    <t>Compressão - Barra 4</t>
  </si>
  <si>
    <t>Esbeltez no plano - Barra 3</t>
  </si>
  <si>
    <t>Esbeltez no plano - Barra 4</t>
  </si>
  <si>
    <t>Esbeltez fora do plano - Banzo Inferior</t>
  </si>
  <si>
    <t>Esbeltez fora do plano - Banzo Superior</t>
  </si>
  <si>
    <r>
      <t>K</t>
    </r>
    <r>
      <rPr>
        <vertAlign val="subscript"/>
        <sz val="11"/>
        <color theme="0"/>
        <rFont val="Segoe UI Semibold"/>
        <family val="2"/>
      </rPr>
      <t>mod</t>
    </r>
  </si>
  <si>
    <r>
      <t>f</t>
    </r>
    <r>
      <rPr>
        <vertAlign val="subscript"/>
        <sz val="11"/>
        <color theme="0"/>
        <rFont val="Segoe UI Semibold"/>
        <family val="2"/>
      </rPr>
      <t>ck</t>
    </r>
  </si>
  <si>
    <r>
      <t>f</t>
    </r>
    <r>
      <rPr>
        <vertAlign val="subscript"/>
        <sz val="11"/>
        <color theme="0"/>
        <rFont val="Segoe UI Semibold"/>
        <family val="2"/>
      </rPr>
      <t>tk</t>
    </r>
  </si>
  <si>
    <r>
      <t>f</t>
    </r>
    <r>
      <rPr>
        <vertAlign val="subscript"/>
        <sz val="11"/>
        <color theme="0"/>
        <rFont val="Segoe UI Semibold"/>
        <family val="2"/>
      </rPr>
      <t>vk</t>
    </r>
  </si>
  <si>
    <r>
      <t>E</t>
    </r>
    <r>
      <rPr>
        <vertAlign val="subscript"/>
        <sz val="11"/>
        <color theme="0"/>
        <rFont val="Segoe UI Semibold"/>
        <family val="2"/>
      </rPr>
      <t>0,05</t>
    </r>
  </si>
  <si>
    <r>
      <t>f</t>
    </r>
    <r>
      <rPr>
        <vertAlign val="subscript"/>
        <sz val="11"/>
        <color theme="0"/>
        <rFont val="Segoe UI Semibold"/>
        <family val="2"/>
      </rPr>
      <t>c0d</t>
    </r>
  </si>
  <si>
    <r>
      <t>f</t>
    </r>
    <r>
      <rPr>
        <vertAlign val="subscript"/>
        <sz val="11"/>
        <color theme="0"/>
        <rFont val="Segoe UI Semibold"/>
        <family val="2"/>
      </rPr>
      <t>t0d</t>
    </r>
  </si>
  <si>
    <r>
      <t>f</t>
    </r>
    <r>
      <rPr>
        <vertAlign val="subscript"/>
        <sz val="11"/>
        <color theme="0"/>
        <rFont val="Segoe UI Semibold"/>
        <family val="2"/>
      </rPr>
      <t>vd</t>
    </r>
  </si>
  <si>
    <r>
      <t>E</t>
    </r>
    <r>
      <rPr>
        <vertAlign val="subscript"/>
        <sz val="11"/>
        <color theme="0"/>
        <rFont val="Segoe UI Semibold"/>
        <family val="2"/>
      </rPr>
      <t>c0,ef</t>
    </r>
  </si>
  <si>
    <r>
      <t>E</t>
    </r>
    <r>
      <rPr>
        <vertAlign val="subscript"/>
        <sz val="11"/>
        <color theme="0"/>
        <rFont val="Segoe UI Semibold"/>
        <family val="2"/>
      </rPr>
      <t>0,med</t>
    </r>
  </si>
  <si>
    <r>
      <t>k</t>
    </r>
    <r>
      <rPr>
        <sz val="8"/>
        <color theme="0"/>
        <rFont val="Segoe UI Semibold"/>
        <family val="2"/>
      </rPr>
      <t>mod1</t>
    </r>
  </si>
  <si>
    <r>
      <t>k</t>
    </r>
    <r>
      <rPr>
        <sz val="8"/>
        <color theme="0"/>
        <rFont val="Segoe UI Semibold"/>
        <family val="2"/>
      </rPr>
      <t>mod2</t>
    </r>
  </si>
  <si>
    <r>
      <t>K</t>
    </r>
    <r>
      <rPr>
        <vertAlign val="subscript"/>
        <sz val="11"/>
        <color rgb="FFFD3F0B"/>
        <rFont val="Segoe UI Semibold"/>
        <family val="2"/>
      </rPr>
      <t>mod</t>
    </r>
  </si>
  <si>
    <r>
      <t>Valores Característicos - F</t>
    </r>
    <r>
      <rPr>
        <vertAlign val="subscript"/>
        <sz val="10"/>
        <color rgb="FFFD3F0B"/>
        <rFont val="Segoe UI Semibold"/>
        <family val="2"/>
      </rPr>
      <t>k</t>
    </r>
  </si>
  <si>
    <r>
      <t>G</t>
    </r>
    <r>
      <rPr>
        <vertAlign val="subscript"/>
        <sz val="11"/>
        <color theme="0"/>
        <rFont val="Segoe UI Semibold"/>
        <family val="2"/>
      </rPr>
      <t>ripa,isolada</t>
    </r>
  </si>
  <si>
    <r>
      <t>G</t>
    </r>
    <r>
      <rPr>
        <vertAlign val="subscript"/>
        <sz val="11"/>
        <color theme="0"/>
        <rFont val="Segoe UI Semibold"/>
        <family val="2"/>
      </rPr>
      <t>caibro,isolado</t>
    </r>
  </si>
  <si>
    <r>
      <t>G</t>
    </r>
    <r>
      <rPr>
        <vertAlign val="subscript"/>
        <sz val="11"/>
        <color theme="0"/>
        <rFont val="Segoe UI Semibold"/>
        <family val="2"/>
      </rPr>
      <t>terça,isolada</t>
    </r>
  </si>
  <si>
    <r>
      <t>G</t>
    </r>
    <r>
      <rPr>
        <vertAlign val="subscript"/>
        <sz val="11"/>
        <color theme="0"/>
        <rFont val="Segoe UI Semibold"/>
        <family val="2"/>
      </rPr>
      <t>ripa</t>
    </r>
  </si>
  <si>
    <r>
      <t>G</t>
    </r>
    <r>
      <rPr>
        <vertAlign val="subscript"/>
        <sz val="11"/>
        <color theme="0"/>
        <rFont val="Segoe UI Semibold"/>
        <family val="2"/>
      </rPr>
      <t>caibro</t>
    </r>
  </si>
  <si>
    <r>
      <t>G</t>
    </r>
    <r>
      <rPr>
        <vertAlign val="subscript"/>
        <sz val="11"/>
        <color theme="0"/>
        <rFont val="Segoe UI Semibold"/>
        <family val="2"/>
      </rPr>
      <t>terça</t>
    </r>
  </si>
  <si>
    <r>
      <t>Q</t>
    </r>
    <r>
      <rPr>
        <vertAlign val="subscript"/>
        <sz val="11"/>
        <color theme="0"/>
        <rFont val="Segoe UI Semibold"/>
        <family val="2"/>
      </rPr>
      <t>x</t>
    </r>
  </si>
  <si>
    <r>
      <t>G</t>
    </r>
    <r>
      <rPr>
        <vertAlign val="subscript"/>
        <sz val="11"/>
        <color theme="0"/>
        <rFont val="Segoe UI Semibold"/>
        <family val="2"/>
      </rPr>
      <t>ripa,x</t>
    </r>
  </si>
  <si>
    <r>
      <t>G</t>
    </r>
    <r>
      <rPr>
        <vertAlign val="subscript"/>
        <sz val="11"/>
        <color theme="0"/>
        <rFont val="Segoe UI Semibold"/>
        <family val="2"/>
      </rPr>
      <t>caibro,x</t>
    </r>
  </si>
  <si>
    <r>
      <t>G</t>
    </r>
    <r>
      <rPr>
        <vertAlign val="subscript"/>
        <sz val="11"/>
        <color theme="0"/>
        <rFont val="Segoe UI Semibold"/>
        <family val="2"/>
      </rPr>
      <t>terça,x</t>
    </r>
  </si>
  <si>
    <r>
      <t>Q</t>
    </r>
    <r>
      <rPr>
        <vertAlign val="subscript"/>
        <sz val="11"/>
        <color theme="0"/>
        <rFont val="Segoe UI Semibold"/>
        <family val="2"/>
      </rPr>
      <t>y</t>
    </r>
  </si>
  <si>
    <r>
      <t>G</t>
    </r>
    <r>
      <rPr>
        <vertAlign val="subscript"/>
        <sz val="11"/>
        <color theme="0"/>
        <rFont val="Segoe UI Semibold"/>
        <family val="2"/>
      </rPr>
      <t>ripa,y</t>
    </r>
  </si>
  <si>
    <r>
      <t>G</t>
    </r>
    <r>
      <rPr>
        <vertAlign val="subscript"/>
        <sz val="11"/>
        <color theme="0"/>
        <rFont val="Segoe UI Semibold"/>
        <family val="2"/>
      </rPr>
      <t>caibro,y</t>
    </r>
  </si>
  <si>
    <r>
      <t>G</t>
    </r>
    <r>
      <rPr>
        <vertAlign val="subscript"/>
        <sz val="11"/>
        <color theme="0"/>
        <rFont val="Segoe UI Semibold"/>
        <family val="2"/>
      </rPr>
      <t>terça,y</t>
    </r>
  </si>
  <si>
    <r>
      <t>G</t>
    </r>
    <r>
      <rPr>
        <vertAlign val="subscript"/>
        <sz val="11"/>
        <color theme="0"/>
        <rFont val="Segoe UI Semibold"/>
        <family val="2"/>
      </rPr>
      <t>telha</t>
    </r>
  </si>
  <si>
    <r>
      <t>G</t>
    </r>
    <r>
      <rPr>
        <vertAlign val="subscript"/>
        <sz val="11"/>
        <color theme="0"/>
        <rFont val="Segoe UI Semibold"/>
        <family val="2"/>
      </rPr>
      <t>forro</t>
    </r>
  </si>
  <si>
    <r>
      <t>G</t>
    </r>
    <r>
      <rPr>
        <vertAlign val="subscript"/>
        <sz val="11"/>
        <color theme="0"/>
        <rFont val="Segoe UI Semibold"/>
        <family val="2"/>
      </rPr>
      <t>treliça</t>
    </r>
  </si>
  <si>
    <r>
      <t>G</t>
    </r>
    <r>
      <rPr>
        <vertAlign val="subscript"/>
        <sz val="11"/>
        <color theme="0"/>
        <rFont val="Segoe UI Semibold"/>
        <family val="2"/>
      </rPr>
      <t>painel</t>
    </r>
  </si>
  <si>
    <r>
      <t>V</t>
    </r>
    <r>
      <rPr>
        <vertAlign val="subscript"/>
        <sz val="11"/>
        <color theme="0"/>
        <rFont val="Segoe UI Semibold"/>
        <family val="2"/>
      </rPr>
      <t>x</t>
    </r>
  </si>
  <si>
    <r>
      <t>V</t>
    </r>
    <r>
      <rPr>
        <vertAlign val="subscript"/>
        <sz val="11"/>
        <color theme="0"/>
        <rFont val="Segoe UI Semibold"/>
        <family val="2"/>
      </rPr>
      <t>y</t>
    </r>
  </si>
  <si>
    <t>Tesoura e Contraventamentos</t>
  </si>
  <si>
    <r>
      <t>ψ</t>
    </r>
    <r>
      <rPr>
        <vertAlign val="subscript"/>
        <sz val="11"/>
        <color theme="0"/>
        <rFont val="Segoe UI Semibold"/>
        <family val="2"/>
      </rPr>
      <t>0</t>
    </r>
  </si>
  <si>
    <r>
      <t>ψ</t>
    </r>
    <r>
      <rPr>
        <vertAlign val="subscript"/>
        <sz val="11"/>
        <color theme="0"/>
        <rFont val="Segoe UI Semibold"/>
        <family val="2"/>
      </rPr>
      <t>2</t>
    </r>
  </si>
  <si>
    <r>
      <t>F</t>
    </r>
    <r>
      <rPr>
        <vertAlign val="subscript"/>
        <sz val="11"/>
        <color theme="0"/>
        <rFont val="Segoe UI Semibold"/>
        <family val="2"/>
      </rPr>
      <t>d</t>
    </r>
  </si>
  <si>
    <r>
      <t>q</t>
    </r>
    <r>
      <rPr>
        <vertAlign val="subscript"/>
        <sz val="11"/>
        <color theme="0"/>
        <rFont val="Segoe UI Semibold"/>
        <family val="2"/>
      </rPr>
      <t>x</t>
    </r>
  </si>
  <si>
    <r>
      <t>q</t>
    </r>
    <r>
      <rPr>
        <vertAlign val="subscript"/>
        <sz val="11"/>
        <color theme="0"/>
        <rFont val="Segoe UI Semibold"/>
        <family val="2"/>
      </rPr>
      <t>y</t>
    </r>
  </si>
  <si>
    <r>
      <t>P</t>
    </r>
    <r>
      <rPr>
        <vertAlign val="subscript"/>
        <sz val="11"/>
        <color theme="0"/>
        <rFont val="Segoe UI Semibold"/>
        <family val="2"/>
      </rPr>
      <t>z</t>
    </r>
  </si>
  <si>
    <r>
      <t>P</t>
    </r>
    <r>
      <rPr>
        <vertAlign val="subscript"/>
        <sz val="11"/>
        <color theme="0"/>
        <rFont val="Segoe UI Semibold"/>
        <family val="2"/>
      </rPr>
      <t>y</t>
    </r>
  </si>
  <si>
    <r>
      <t>V</t>
    </r>
    <r>
      <rPr>
        <vertAlign val="subscript"/>
        <sz val="11"/>
        <color theme="0"/>
        <rFont val="Segoe UI Semibold"/>
        <family val="2"/>
      </rPr>
      <t>k,y</t>
    </r>
  </si>
  <si>
    <r>
      <t>P</t>
    </r>
    <r>
      <rPr>
        <vertAlign val="subscript"/>
        <sz val="11"/>
        <color theme="0"/>
        <rFont val="Segoe UI Semibold"/>
        <family val="2"/>
      </rPr>
      <t>x</t>
    </r>
  </si>
  <si>
    <r>
      <t>G</t>
    </r>
    <r>
      <rPr>
        <vertAlign val="subscript"/>
        <sz val="11"/>
        <color theme="0"/>
        <rFont val="Segoe UI Semibold"/>
        <family val="2"/>
      </rPr>
      <t>y</t>
    </r>
  </si>
  <si>
    <r>
      <t>G</t>
    </r>
    <r>
      <rPr>
        <vertAlign val="subscript"/>
        <sz val="11"/>
        <color theme="0"/>
        <rFont val="Segoe UI Semibold"/>
        <family val="2"/>
      </rPr>
      <t>x</t>
    </r>
  </si>
  <si>
    <r>
      <t>P</t>
    </r>
    <r>
      <rPr>
        <vertAlign val="subscript"/>
        <sz val="11"/>
        <color theme="0"/>
        <rFont val="Segoe UI Semibold"/>
        <family val="2"/>
      </rPr>
      <t>y,d,1</t>
    </r>
  </si>
  <si>
    <r>
      <t>P</t>
    </r>
    <r>
      <rPr>
        <vertAlign val="subscript"/>
        <sz val="11"/>
        <color theme="0"/>
        <rFont val="Segoe UI Semibold"/>
        <family val="2"/>
      </rPr>
      <t>y,d,2</t>
    </r>
    <r>
      <rPr>
        <sz val="11"/>
        <color theme="1"/>
        <rFont val="Calibri"/>
        <family val="2"/>
        <scheme val="minor"/>
      </rPr>
      <t/>
    </r>
  </si>
  <si>
    <r>
      <t>P</t>
    </r>
    <r>
      <rPr>
        <vertAlign val="subscript"/>
        <sz val="11"/>
        <color theme="0"/>
        <rFont val="Segoe UI Semibold"/>
        <family val="2"/>
      </rPr>
      <t>y,d</t>
    </r>
  </si>
  <si>
    <r>
      <t>P</t>
    </r>
    <r>
      <rPr>
        <vertAlign val="subscript"/>
        <sz val="11"/>
        <color theme="0"/>
        <rFont val="Segoe UI Semibold"/>
        <family val="2"/>
      </rPr>
      <t>x,d</t>
    </r>
  </si>
  <si>
    <r>
      <t>N</t>
    </r>
    <r>
      <rPr>
        <vertAlign val="subscript"/>
        <sz val="11"/>
        <color theme="0"/>
        <rFont val="Segoe UI Semibold"/>
        <family val="2"/>
      </rPr>
      <t>k,g</t>
    </r>
  </si>
  <si>
    <r>
      <t>N</t>
    </r>
    <r>
      <rPr>
        <vertAlign val="subscript"/>
        <sz val="11"/>
        <color theme="0"/>
        <rFont val="Segoe UI Semibold"/>
        <family val="2"/>
      </rPr>
      <t>k,q</t>
    </r>
  </si>
  <si>
    <t>A∙Emed</t>
  </si>
  <si>
    <t>RANKING BARRAS MAIS SOLICITADAS</t>
  </si>
  <si>
    <t>PADRÃO</t>
  </si>
  <si>
    <r>
      <t>δ</t>
    </r>
    <r>
      <rPr>
        <vertAlign val="subscript"/>
        <sz val="11"/>
        <color theme="0"/>
        <rFont val="Segoe UI Semibold"/>
        <family val="2"/>
      </rPr>
      <t>inst.</t>
    </r>
  </si>
  <si>
    <r>
      <t>δ</t>
    </r>
    <r>
      <rPr>
        <vertAlign val="subscript"/>
        <sz val="11"/>
        <color theme="0"/>
        <rFont val="Segoe UI Semibold"/>
        <family val="2"/>
      </rPr>
      <t>final</t>
    </r>
  </si>
  <si>
    <r>
      <t>V</t>
    </r>
    <r>
      <rPr>
        <vertAlign val="subscript"/>
        <sz val="11"/>
        <color theme="0"/>
        <rFont val="Segoe UI Semibold"/>
        <family val="2"/>
      </rPr>
      <t>d,y</t>
    </r>
  </si>
  <si>
    <r>
      <t>M</t>
    </r>
    <r>
      <rPr>
        <vertAlign val="subscript"/>
        <sz val="11"/>
        <color theme="0"/>
        <rFont val="Segoe UI Semibold"/>
        <family val="2"/>
      </rPr>
      <t>d,z</t>
    </r>
  </si>
  <si>
    <r>
      <t>N</t>
    </r>
    <r>
      <rPr>
        <vertAlign val="subscript"/>
        <sz val="11"/>
        <color theme="0"/>
        <rFont val="Segoe UI Semibold"/>
        <family val="2"/>
      </rPr>
      <t>d,x</t>
    </r>
  </si>
  <si>
    <r>
      <t>M</t>
    </r>
    <r>
      <rPr>
        <vertAlign val="subscript"/>
        <sz val="11"/>
        <color theme="0"/>
        <rFont val="Segoe UI Semibold"/>
        <family val="2"/>
      </rPr>
      <t>dx</t>
    </r>
  </si>
  <si>
    <r>
      <t>M</t>
    </r>
    <r>
      <rPr>
        <vertAlign val="subscript"/>
        <sz val="11"/>
        <color theme="0"/>
        <rFont val="Segoe UI Semibold"/>
        <family val="2"/>
      </rPr>
      <t>dy</t>
    </r>
  </si>
  <si>
    <r>
      <t>V</t>
    </r>
    <r>
      <rPr>
        <vertAlign val="subscript"/>
        <sz val="11"/>
        <color theme="0"/>
        <rFont val="Segoe UI Semibold"/>
        <family val="2"/>
      </rPr>
      <t>dy</t>
    </r>
  </si>
  <si>
    <r>
      <t>V</t>
    </r>
    <r>
      <rPr>
        <vertAlign val="subscript"/>
        <sz val="11"/>
        <color theme="0"/>
        <rFont val="Segoe UI Semibold"/>
        <family val="2"/>
      </rPr>
      <t>dx</t>
    </r>
  </si>
  <si>
    <r>
      <t>f</t>
    </r>
    <r>
      <rPr>
        <vertAlign val="subscript"/>
        <sz val="11"/>
        <color theme="0"/>
        <rFont val="Segoe UI Semibold"/>
        <family val="2"/>
      </rPr>
      <t>cd</t>
    </r>
  </si>
  <si>
    <r>
      <t>q</t>
    </r>
    <r>
      <rPr>
        <vertAlign val="subscript"/>
        <sz val="11"/>
        <color theme="0"/>
        <rFont val="Segoe UI Semibold"/>
        <family val="2"/>
      </rPr>
      <t>x,ELS</t>
    </r>
    <r>
      <rPr>
        <sz val="11"/>
        <color theme="0"/>
        <rFont val="Segoe UI Semibold"/>
        <family val="2"/>
      </rPr>
      <t>, inst</t>
    </r>
  </si>
  <si>
    <r>
      <t>σ</t>
    </r>
    <r>
      <rPr>
        <vertAlign val="subscript"/>
        <sz val="11"/>
        <color theme="0"/>
        <rFont val="Segoe UI Semibold"/>
        <family val="2"/>
      </rPr>
      <t>sdzc</t>
    </r>
  </si>
  <si>
    <r>
      <t>τ</t>
    </r>
    <r>
      <rPr>
        <vertAlign val="subscript"/>
        <sz val="10"/>
        <color theme="0"/>
        <rFont val="Segoe UI Semibold"/>
        <family val="2"/>
      </rPr>
      <t>yd</t>
    </r>
  </si>
  <si>
    <r>
      <t>σ</t>
    </r>
    <r>
      <rPr>
        <vertAlign val="subscript"/>
        <sz val="11"/>
        <color theme="0"/>
        <rFont val="Segoe UI Semibold"/>
        <family val="2"/>
      </rPr>
      <t>sdxc</t>
    </r>
  </si>
  <si>
    <r>
      <t>σ</t>
    </r>
    <r>
      <rPr>
        <vertAlign val="subscript"/>
        <sz val="11"/>
        <color theme="0"/>
        <rFont val="Segoe UI Semibold"/>
        <family val="2"/>
      </rPr>
      <t>sdyc</t>
    </r>
  </si>
  <si>
    <r>
      <t>δ</t>
    </r>
    <r>
      <rPr>
        <vertAlign val="subscript"/>
        <sz val="11"/>
        <color theme="0"/>
        <rFont val="Segoe UI Semibold"/>
        <family val="2"/>
      </rPr>
      <t>limite</t>
    </r>
  </si>
  <si>
    <r>
      <t>σ</t>
    </r>
    <r>
      <rPr>
        <vertAlign val="subscript"/>
        <sz val="11"/>
        <color theme="0"/>
        <rFont val="Segoe UI Semibold"/>
        <family val="2"/>
      </rPr>
      <t>sd</t>
    </r>
  </si>
  <si>
    <r>
      <t>δ</t>
    </r>
    <r>
      <rPr>
        <vertAlign val="subscript"/>
        <sz val="11"/>
        <color theme="0"/>
        <rFont val="Segoe UI Semibold"/>
        <family val="2"/>
      </rPr>
      <t>y</t>
    </r>
  </si>
  <si>
    <r>
      <t>τ</t>
    </r>
    <r>
      <rPr>
        <vertAlign val="subscript"/>
        <sz val="10"/>
        <color theme="0"/>
        <rFont val="Segoe UI Semibold"/>
        <family val="2"/>
      </rPr>
      <t>xd</t>
    </r>
  </si>
  <si>
    <r>
      <t>f</t>
    </r>
    <r>
      <rPr>
        <vertAlign val="subscript"/>
        <sz val="11"/>
        <color theme="0"/>
        <rFont val="Segoe UI Semibold"/>
        <family val="2"/>
      </rPr>
      <t>cnd,y</t>
    </r>
  </si>
  <si>
    <r>
      <t>i</t>
    </r>
    <r>
      <rPr>
        <vertAlign val="subscript"/>
        <sz val="11"/>
        <color theme="0"/>
        <rFont val="Segoe UI Semibold"/>
        <family val="2"/>
      </rPr>
      <t>y</t>
    </r>
  </si>
  <si>
    <r>
      <t>R</t>
    </r>
    <r>
      <rPr>
        <vertAlign val="subscript"/>
        <sz val="11"/>
        <color theme="0"/>
        <rFont val="Segoe UI Semibold"/>
        <family val="2"/>
      </rPr>
      <t>d</t>
    </r>
  </si>
  <si>
    <r>
      <t>λ</t>
    </r>
    <r>
      <rPr>
        <vertAlign val="subscript"/>
        <sz val="11"/>
        <color theme="0"/>
        <rFont val="Segoe UI Semibold"/>
        <family val="2"/>
      </rPr>
      <t>y</t>
    </r>
  </si>
  <si>
    <r>
      <t>b = b</t>
    </r>
    <r>
      <rPr>
        <vertAlign val="subscript"/>
        <sz val="11"/>
        <color theme="0"/>
        <rFont val="Segoe UI Semibold"/>
        <family val="2"/>
      </rPr>
      <t>caibro</t>
    </r>
  </si>
  <si>
    <r>
      <t>c = b</t>
    </r>
    <r>
      <rPr>
        <vertAlign val="subscript"/>
        <sz val="11"/>
        <color theme="0"/>
        <rFont val="Segoe UI Semibold"/>
        <family val="2"/>
      </rPr>
      <t>terça</t>
    </r>
    <r>
      <rPr>
        <sz val="11"/>
        <color theme="0"/>
        <rFont val="Segoe UI Semibold"/>
        <family val="2"/>
      </rPr>
      <t>/2</t>
    </r>
  </si>
  <si>
    <r>
      <t>δ</t>
    </r>
    <r>
      <rPr>
        <vertAlign val="subscript"/>
        <sz val="13"/>
        <color theme="0"/>
        <rFont val="Segoe UI Semibold"/>
        <family val="2"/>
      </rPr>
      <t>y</t>
    </r>
  </si>
  <si>
    <r>
      <t>σ</t>
    </r>
    <r>
      <rPr>
        <vertAlign val="subscript"/>
        <sz val="11"/>
        <color theme="0"/>
        <rFont val="Segoe UI Semibold"/>
        <family val="2"/>
      </rPr>
      <t>cnd,y</t>
    </r>
  </si>
  <si>
    <r>
      <t>δ</t>
    </r>
    <r>
      <rPr>
        <vertAlign val="subscript"/>
        <sz val="13"/>
        <color theme="0"/>
        <rFont val="Segoe UI Semibold"/>
        <family val="2"/>
      </rPr>
      <t>x</t>
    </r>
  </si>
  <si>
    <r>
      <t>λ</t>
    </r>
    <r>
      <rPr>
        <vertAlign val="subscript"/>
        <sz val="11"/>
        <color theme="0"/>
        <rFont val="Segoe UI Semibold"/>
        <family val="2"/>
      </rPr>
      <t>y,inicial</t>
    </r>
  </si>
  <si>
    <r>
      <t>β</t>
    </r>
    <r>
      <rPr>
        <vertAlign val="subscript"/>
        <sz val="11"/>
        <color theme="0"/>
        <rFont val="Segoe UI Semibold"/>
        <family val="2"/>
      </rPr>
      <t>M</t>
    </r>
  </si>
  <si>
    <r>
      <t>λ</t>
    </r>
    <r>
      <rPr>
        <vertAlign val="subscript"/>
        <sz val="11"/>
        <color theme="0"/>
        <rFont val="Segoe UI Semibold"/>
        <family val="2"/>
      </rPr>
      <t>y,final</t>
    </r>
  </si>
  <si>
    <r>
      <t>σ</t>
    </r>
    <r>
      <rPr>
        <vertAlign val="subscript"/>
        <sz val="11"/>
        <color theme="0"/>
        <rFont val="Segoe UI Semibold"/>
        <family val="2"/>
      </rPr>
      <t>lim</t>
    </r>
  </si>
  <si>
    <r>
      <t>σ</t>
    </r>
    <r>
      <rPr>
        <vertAlign val="subscript"/>
        <sz val="11"/>
        <color theme="0"/>
        <rFont val="Segoe UI Semibold"/>
        <family val="2"/>
      </rPr>
      <t>cd</t>
    </r>
  </si>
  <si>
    <r>
      <t>τ</t>
    </r>
    <r>
      <rPr>
        <vertAlign val="subscript"/>
        <sz val="10"/>
        <color theme="0"/>
        <rFont val="Segoe UI Semibold"/>
        <family val="2"/>
      </rPr>
      <t>d</t>
    </r>
  </si>
  <si>
    <r>
      <t>N</t>
    </r>
    <r>
      <rPr>
        <vertAlign val="subscript"/>
        <sz val="11"/>
        <color theme="0"/>
        <rFont val="Segoe UI Semibold"/>
        <family val="2"/>
      </rPr>
      <t>d</t>
    </r>
  </si>
  <si>
    <r>
      <t>b = b</t>
    </r>
    <r>
      <rPr>
        <vertAlign val="subscript"/>
        <sz val="11"/>
        <color theme="0"/>
        <rFont val="Segoe UI Semibold"/>
        <family val="2"/>
      </rPr>
      <t>ripa</t>
    </r>
  </si>
  <si>
    <r>
      <t>b = h</t>
    </r>
    <r>
      <rPr>
        <vertAlign val="subscript"/>
        <sz val="11"/>
        <color theme="0"/>
        <rFont val="Segoe UI Semibold"/>
        <family val="2"/>
      </rPr>
      <t>terça</t>
    </r>
  </si>
  <si>
    <r>
      <t>c = b</t>
    </r>
    <r>
      <rPr>
        <vertAlign val="subscript"/>
        <sz val="11"/>
        <color theme="0"/>
        <rFont val="Segoe UI Semibold"/>
        <family val="2"/>
      </rPr>
      <t>caibro</t>
    </r>
    <r>
      <rPr>
        <sz val="11"/>
        <color theme="0"/>
        <rFont val="Segoe UI Semibold"/>
        <family val="2"/>
      </rPr>
      <t>/2</t>
    </r>
  </si>
  <si>
    <r>
      <t>c = b</t>
    </r>
    <r>
      <rPr>
        <vertAlign val="subscript"/>
        <sz val="11"/>
        <color theme="0"/>
        <rFont val="Segoe UI Semibold"/>
        <family val="2"/>
      </rPr>
      <t>trel</t>
    </r>
    <r>
      <rPr>
        <sz val="11"/>
        <color theme="0"/>
        <rFont val="Segoe UI Semibold"/>
        <family val="2"/>
      </rPr>
      <t>/2</t>
    </r>
  </si>
  <si>
    <r>
      <t>b = b</t>
    </r>
    <r>
      <rPr>
        <vertAlign val="subscript"/>
        <sz val="11"/>
        <color theme="0"/>
        <rFont val="Segoe UI Semibold"/>
        <family val="2"/>
      </rPr>
      <t>terça</t>
    </r>
  </si>
  <si>
    <r>
      <t>σ</t>
    </r>
    <r>
      <rPr>
        <vertAlign val="subscript"/>
        <sz val="11"/>
        <color theme="0"/>
        <rFont val="Segoe UI Semibold"/>
        <family val="2"/>
      </rPr>
      <t>scd</t>
    </r>
  </si>
  <si>
    <r>
      <t>b</t>
    </r>
    <r>
      <rPr>
        <vertAlign val="subscript"/>
        <sz val="11"/>
        <color theme="0"/>
        <rFont val="Segoe UI Semibold"/>
        <family val="2"/>
      </rPr>
      <t>treliça</t>
    </r>
  </si>
  <si>
    <r>
      <t>esp</t>
    </r>
    <r>
      <rPr>
        <vertAlign val="subscript"/>
        <sz val="11"/>
        <color theme="0"/>
        <rFont val="Segoe UI Semibold"/>
        <family val="2"/>
      </rPr>
      <t>parede</t>
    </r>
  </si>
  <si>
    <t>Ligações</t>
  </si>
  <si>
    <r>
      <t>I</t>
    </r>
    <r>
      <rPr>
        <vertAlign val="subscript"/>
        <sz val="11"/>
        <color theme="0"/>
        <rFont val="Segoe UI Semibold"/>
        <family val="2"/>
      </rPr>
      <t>x</t>
    </r>
  </si>
  <si>
    <r>
      <t>i</t>
    </r>
    <r>
      <rPr>
        <vertAlign val="subscript"/>
        <sz val="11"/>
        <color theme="0"/>
        <rFont val="Segoe UI Semibold"/>
        <family val="2"/>
      </rPr>
      <t>x</t>
    </r>
  </si>
  <si>
    <r>
      <t>I</t>
    </r>
    <r>
      <rPr>
        <vertAlign val="subscript"/>
        <sz val="11"/>
        <color theme="0"/>
        <rFont val="Segoe UI Semibold"/>
        <family val="2"/>
      </rPr>
      <t>y</t>
    </r>
  </si>
  <si>
    <r>
      <t>λ</t>
    </r>
    <r>
      <rPr>
        <vertAlign val="subscript"/>
        <sz val="11"/>
        <color theme="0"/>
        <rFont val="Segoe UI Semibold"/>
        <family val="2"/>
      </rPr>
      <t>rel</t>
    </r>
  </si>
  <si>
    <r>
      <t>δ</t>
    </r>
    <r>
      <rPr>
        <vertAlign val="subscript"/>
        <sz val="11"/>
        <color theme="0"/>
        <rFont val="Segoe UI Semibold"/>
        <family val="2"/>
      </rPr>
      <t>x</t>
    </r>
  </si>
  <si>
    <t>eixo x (Vx e My)</t>
  </si>
  <si>
    <t>eixo y (Vy e Mx)</t>
  </si>
  <si>
    <r>
      <t>h</t>
    </r>
    <r>
      <rPr>
        <vertAlign val="subscript"/>
        <sz val="11"/>
        <color theme="0"/>
        <rFont val="Segoe UI Semibold"/>
        <family val="2"/>
      </rPr>
      <t>y</t>
    </r>
  </si>
  <si>
    <r>
      <t>b</t>
    </r>
    <r>
      <rPr>
        <vertAlign val="subscript"/>
        <sz val="11"/>
        <color theme="0"/>
        <rFont val="Segoe UI Semibold"/>
        <family val="2"/>
      </rPr>
      <t>x</t>
    </r>
  </si>
  <si>
    <r>
      <t>q</t>
    </r>
    <r>
      <rPr>
        <vertAlign val="subscript"/>
        <sz val="11"/>
        <color theme="0"/>
        <rFont val="Segoe UI Semibold"/>
        <family val="2"/>
      </rPr>
      <t>y</t>
    </r>
    <r>
      <rPr>
        <sz val="11"/>
        <color theme="0"/>
        <rFont val="Segoe UI Semibold"/>
        <family val="2"/>
      </rPr>
      <t>,</t>
    </r>
    <r>
      <rPr>
        <vertAlign val="subscript"/>
        <sz val="11"/>
        <color theme="0"/>
        <rFont val="Segoe UI Semibold"/>
        <family val="2"/>
      </rPr>
      <t>ELS</t>
    </r>
    <r>
      <rPr>
        <sz val="11"/>
        <color theme="0"/>
        <rFont val="Segoe UI Semibold"/>
        <family val="2"/>
      </rPr>
      <t>,</t>
    </r>
    <r>
      <rPr>
        <vertAlign val="subscript"/>
        <sz val="11"/>
        <color theme="0"/>
        <rFont val="Segoe UI Semibold"/>
        <family val="2"/>
      </rPr>
      <t>inst</t>
    </r>
  </si>
  <si>
    <r>
      <t>qx</t>
    </r>
    <r>
      <rPr>
        <vertAlign val="subscript"/>
        <sz val="11"/>
        <color theme="0"/>
        <rFont val="Segoe UI Semibold"/>
        <family val="2"/>
      </rPr>
      <t>,ELS, inst</t>
    </r>
  </si>
  <si>
    <r>
      <t>b</t>
    </r>
    <r>
      <rPr>
        <vertAlign val="subscript"/>
        <sz val="11"/>
        <color theme="0"/>
        <rFont val="Segoe UI Semibold"/>
        <family val="2"/>
      </rPr>
      <t>z</t>
    </r>
  </si>
  <si>
    <r>
      <t>I</t>
    </r>
    <r>
      <rPr>
        <vertAlign val="subscript"/>
        <sz val="11"/>
        <color theme="0"/>
        <rFont val="Segoe UI Semibold"/>
        <family val="2"/>
      </rPr>
      <t>z</t>
    </r>
  </si>
  <si>
    <r>
      <t>i</t>
    </r>
    <r>
      <rPr>
        <vertAlign val="subscript"/>
        <sz val="11"/>
        <color theme="0"/>
        <rFont val="Segoe UI Semibold"/>
        <family val="2"/>
      </rPr>
      <t>z</t>
    </r>
  </si>
  <si>
    <r>
      <t>q</t>
    </r>
    <r>
      <rPr>
        <vertAlign val="subscript"/>
        <sz val="11"/>
        <color theme="0"/>
        <rFont val="Segoe UI Semibold"/>
        <family val="2"/>
      </rPr>
      <t>d,yserv, inst</t>
    </r>
  </si>
  <si>
    <r>
      <t>q</t>
    </r>
    <r>
      <rPr>
        <vertAlign val="subscript"/>
        <sz val="11"/>
        <color theme="0"/>
        <rFont val="Segoe UI Semibold"/>
        <family val="2"/>
      </rPr>
      <t>d,yserv, fin</t>
    </r>
  </si>
  <si>
    <r>
      <t>q</t>
    </r>
    <r>
      <rPr>
        <vertAlign val="subscript"/>
        <sz val="11"/>
        <color theme="0"/>
        <rFont val="Segoe UI Semibold"/>
        <family val="2"/>
      </rPr>
      <t>y</t>
    </r>
    <r>
      <rPr>
        <sz val="11"/>
        <color theme="0"/>
        <rFont val="Segoe UI Semibold"/>
        <family val="2"/>
      </rPr>
      <t>,</t>
    </r>
    <r>
      <rPr>
        <vertAlign val="subscript"/>
        <sz val="11"/>
        <color theme="0"/>
        <rFont val="Segoe UI Semibold"/>
        <family val="2"/>
      </rPr>
      <t>ELS,fin</t>
    </r>
  </si>
  <si>
    <r>
      <t>qx</t>
    </r>
    <r>
      <rPr>
        <vertAlign val="subscript"/>
        <sz val="11"/>
        <color theme="0"/>
        <rFont val="Segoe UI Semibold"/>
        <family val="2"/>
      </rPr>
      <t>,ELS, fin</t>
    </r>
  </si>
  <si>
    <r>
      <t>K</t>
    </r>
    <r>
      <rPr>
        <vertAlign val="subscript"/>
        <sz val="11"/>
        <color theme="0"/>
        <rFont val="Segoe UI Semibold"/>
        <family val="2"/>
      </rPr>
      <t>c</t>
    </r>
  </si>
  <si>
    <r>
      <t>σ</t>
    </r>
    <r>
      <rPr>
        <vertAlign val="subscript"/>
        <sz val="10"/>
        <color theme="0"/>
        <rFont val="Segoe UI Semibold"/>
        <family val="2"/>
      </rPr>
      <t>sdx</t>
    </r>
  </si>
  <si>
    <r>
      <t>q</t>
    </r>
    <r>
      <rPr>
        <vertAlign val="subscript"/>
        <sz val="11"/>
        <color theme="0"/>
        <rFont val="Segoe UI Semibold"/>
        <family val="2"/>
      </rPr>
      <t>y</t>
    </r>
    <r>
      <rPr>
        <sz val="11"/>
        <color theme="0"/>
        <rFont val="Segoe UI Semibold"/>
        <family val="2"/>
      </rPr>
      <t>,</t>
    </r>
    <r>
      <rPr>
        <vertAlign val="subscript"/>
        <sz val="11"/>
        <color theme="0"/>
        <rFont val="Segoe UI Semibold"/>
        <family val="2"/>
      </rPr>
      <t>ELS,inst</t>
    </r>
  </si>
  <si>
    <r>
      <t>N</t>
    </r>
    <r>
      <rPr>
        <vertAlign val="subscript"/>
        <sz val="10"/>
        <color theme="0"/>
        <rFont val="Segoe UI Semibold"/>
        <family val="2"/>
      </rPr>
      <t>d</t>
    </r>
  </si>
  <si>
    <r>
      <t>f</t>
    </r>
    <r>
      <rPr>
        <vertAlign val="subscript"/>
        <sz val="10"/>
        <color theme="0"/>
        <rFont val="Segoe UI Semibold"/>
        <family val="2"/>
      </rPr>
      <t>0</t>
    </r>
  </si>
  <si>
    <r>
      <t>f</t>
    </r>
    <r>
      <rPr>
        <vertAlign val="subscript"/>
        <sz val="10"/>
        <color theme="0"/>
        <rFont val="Segoe UI Semibold"/>
        <family val="2"/>
      </rPr>
      <t>90</t>
    </r>
  </si>
  <si>
    <r>
      <t>f</t>
    </r>
    <r>
      <rPr>
        <vertAlign val="subscript"/>
        <sz val="10"/>
        <color theme="0"/>
        <rFont val="Segoe UI Semibold"/>
        <family val="2"/>
      </rPr>
      <t>cβd</t>
    </r>
  </si>
  <si>
    <r>
      <t xml:space="preserve">t </t>
    </r>
    <r>
      <rPr>
        <vertAlign val="subscript"/>
        <sz val="10"/>
        <color theme="0"/>
        <rFont val="Segoe UI Semibold"/>
        <family val="2"/>
      </rPr>
      <t>aprox</t>
    </r>
  </si>
  <si>
    <r>
      <t xml:space="preserve">t </t>
    </r>
    <r>
      <rPr>
        <vertAlign val="subscript"/>
        <sz val="10"/>
        <color theme="0"/>
        <rFont val="Segoe UI Semibold"/>
        <family val="2"/>
      </rPr>
      <t>max</t>
    </r>
  </si>
  <si>
    <r>
      <t xml:space="preserve">t </t>
    </r>
    <r>
      <rPr>
        <vertAlign val="subscript"/>
        <sz val="10"/>
        <color theme="0"/>
        <rFont val="Segoe UI Semibold"/>
        <family val="2"/>
      </rPr>
      <t>min</t>
    </r>
  </si>
  <si>
    <r>
      <t xml:space="preserve">t </t>
    </r>
    <r>
      <rPr>
        <vertAlign val="subscript"/>
        <sz val="10"/>
        <color theme="0"/>
        <rFont val="Segoe UI Semibold"/>
        <family val="2"/>
      </rPr>
      <t>adot</t>
    </r>
  </si>
  <si>
    <r>
      <t>f</t>
    </r>
    <r>
      <rPr>
        <vertAlign val="subscript"/>
        <sz val="10"/>
        <color theme="0"/>
        <rFont val="Segoe UI Semibold"/>
        <family val="2"/>
      </rPr>
      <t>vd</t>
    </r>
  </si>
  <si>
    <r>
      <t>a</t>
    </r>
    <r>
      <rPr>
        <vertAlign val="subscript"/>
        <sz val="10"/>
        <color theme="0"/>
        <rFont val="Segoe UI Semibold"/>
        <family val="2"/>
      </rPr>
      <t xml:space="preserve"> aprox</t>
    </r>
  </si>
  <si>
    <r>
      <t xml:space="preserve">a </t>
    </r>
    <r>
      <rPr>
        <vertAlign val="subscript"/>
        <sz val="10"/>
        <color theme="0"/>
        <rFont val="Segoe UI Semibold"/>
        <family val="2"/>
      </rPr>
      <t>min</t>
    </r>
  </si>
  <si>
    <r>
      <t xml:space="preserve">a </t>
    </r>
    <r>
      <rPr>
        <vertAlign val="subscript"/>
        <sz val="10"/>
        <color theme="0"/>
        <rFont val="Segoe UI Semibold"/>
        <family val="2"/>
      </rPr>
      <t>adot</t>
    </r>
  </si>
  <si>
    <r>
      <t>t</t>
    </r>
    <r>
      <rPr>
        <vertAlign val="subscript"/>
        <sz val="10"/>
        <color theme="0"/>
        <rFont val="Segoe UI Semibold"/>
        <family val="2"/>
      </rPr>
      <t xml:space="preserve"> aprox</t>
    </r>
  </si>
  <si>
    <r>
      <t>t</t>
    </r>
    <r>
      <rPr>
        <vertAlign val="subscript"/>
        <sz val="10"/>
        <color theme="0"/>
        <rFont val="Segoe UI Semibold"/>
        <family val="2"/>
      </rPr>
      <t xml:space="preserve"> max</t>
    </r>
  </si>
  <si>
    <r>
      <t>t</t>
    </r>
    <r>
      <rPr>
        <vertAlign val="subscript"/>
        <sz val="10"/>
        <color theme="0"/>
        <rFont val="Segoe UI Semibold"/>
        <family val="2"/>
      </rPr>
      <t xml:space="preserve"> min</t>
    </r>
  </si>
  <si>
    <r>
      <t>t</t>
    </r>
    <r>
      <rPr>
        <vertAlign val="subscript"/>
        <sz val="10"/>
        <color theme="0"/>
        <rFont val="Segoe UI Semibold"/>
        <family val="2"/>
      </rPr>
      <t xml:space="preserve"> adot</t>
    </r>
  </si>
  <si>
    <r>
      <t>a</t>
    </r>
    <r>
      <rPr>
        <vertAlign val="subscript"/>
        <sz val="10"/>
        <color theme="0"/>
        <rFont val="Segoe UI Semibold"/>
        <family val="2"/>
      </rPr>
      <t xml:space="preserve"> min</t>
    </r>
  </si>
  <si>
    <r>
      <t>a</t>
    </r>
    <r>
      <rPr>
        <vertAlign val="subscript"/>
        <sz val="10"/>
        <color theme="0"/>
        <rFont val="Segoe UI Semibold"/>
        <family val="2"/>
      </rPr>
      <t xml:space="preserve"> adot</t>
    </r>
  </si>
  <si>
    <t>MÓDULO: LIGAÇÕES (MODELO A)</t>
  </si>
  <si>
    <t>LIGAÇÕES</t>
  </si>
  <si>
    <t>mais crítico</t>
  </si>
  <si>
    <t xml:space="preserve">    Sobre</t>
  </si>
  <si>
    <t>ITEM</t>
  </si>
  <si>
    <t>RST</t>
  </si>
  <si>
    <t>SLT</t>
  </si>
  <si>
    <t xml:space="preserve">  Contato</t>
  </si>
  <si>
    <t xml:space="preserve">UFPI (2024) </t>
  </si>
  <si>
    <t>luisenaiton@ufpi.edu.br</t>
  </si>
  <si>
    <t>UFPI (2024) - Luis Enaiton Luz Oliveira</t>
  </si>
  <si>
    <t>ismar.jr.s20@gmail.com</t>
  </si>
  <si>
    <t>Ismar Costa Lima Júnior - Engenheiro Civil</t>
  </si>
  <si>
    <t>Plantada - conífera</t>
  </si>
  <si>
    <t>C14</t>
  </si>
  <si>
    <t>Plantada</t>
  </si>
  <si>
    <t>C16</t>
  </si>
  <si>
    <t>C18</t>
  </si>
  <si>
    <t>C20</t>
  </si>
  <si>
    <t>C22</t>
  </si>
  <si>
    <t>C24</t>
  </si>
  <si>
    <t>C27</t>
  </si>
  <si>
    <t>C30</t>
  </si>
  <si>
    <t>C35</t>
  </si>
  <si>
    <t>C40</t>
  </si>
  <si>
    <t>C45</t>
  </si>
  <si>
    <t>C50</t>
  </si>
  <si>
    <t>Plantada - folhosa</t>
  </si>
  <si>
    <t>D18</t>
  </si>
  <si>
    <t>D24</t>
  </si>
  <si>
    <t>D30</t>
  </si>
  <si>
    <t>D35</t>
  </si>
  <si>
    <t>D40</t>
  </si>
  <si>
    <t>D50</t>
  </si>
  <si>
    <t>D60</t>
  </si>
  <si>
    <t>D70</t>
  </si>
  <si>
    <t>Nativa</t>
  </si>
  <si>
    <t>D 20</t>
  </si>
  <si>
    <t>D 30</t>
  </si>
  <si>
    <t xml:space="preserve">D 40 </t>
  </si>
  <si>
    <t>D 50</t>
  </si>
  <si>
    <t>D 60</t>
  </si>
  <si>
    <t>0,6</t>
  </si>
  <si>
    <t>Umidade padrão</t>
  </si>
  <si>
    <t>Floresta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</si>
</sst>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164" formatCode="&quot;R$&quot;#,##0.00;\-&quot;R$&quot;#,##0.00"/>
    <numFmt numFmtId="165" formatCode="0.00\ &quot;m&quot;"/>
    <numFmt numFmtId="166" formatCode="0\ &quot;peças / m²&quot;"/>
    <numFmt numFmtId="167" formatCode="0.00\ &quot;kg&quot;"/>
    <numFmt numFmtId="168" formatCode="#,##0\ &quot;kg/m³&quot;"/>
    <numFmt numFmtId="169" formatCode="0.0\ &quot;cm&quot;"/>
    <numFmt numFmtId="170" formatCode="0.0000\ &quot;kN/m²&quot;"/>
    <numFmt numFmtId="171" formatCode="0.0000"/>
    <numFmt numFmtId="172" formatCode="#,##0\ &quot;MPa&quot;"/>
    <numFmt numFmtId="173" formatCode="#,##0.0\ &quot;MPa&quot;"/>
    <numFmt numFmtId="174" formatCode="#,##0.00\ &quot;MPa&quot;"/>
    <numFmt numFmtId="175" formatCode="0&quot;%&quot;"/>
    <numFmt numFmtId="176" formatCode="#,##0.00\ &quot;kN/cm²&quot;"/>
    <numFmt numFmtId="177" formatCode="0.000"/>
    <numFmt numFmtId="178" formatCode="0.0\ \°"/>
    <numFmt numFmtId="179" formatCode="0.0%"/>
    <numFmt numFmtId="180" formatCode="0.00\ &quot;kN/m²&quot;"/>
    <numFmt numFmtId="181" formatCode="0.0000\ &quot;kN/m&quot;"/>
    <numFmt numFmtId="182" formatCode="0.0000\ &quot;kN&quot;"/>
    <numFmt numFmtId="183" formatCode="0.00\ &quot;kN&quot;"/>
    <numFmt numFmtId="184" formatCode="0.00\ &quot;m²&quot;"/>
    <numFmt numFmtId="185" formatCode="0.0000\ &quot;kNꞏcm&quot;"/>
    <numFmt numFmtId="186" formatCode="0.00\ &quot;cm&quot;"/>
    <numFmt numFmtId="187" formatCode="0.0000\ &quot;cm4&quot;"/>
    <numFmt numFmtId="188" formatCode="0.0000\ &quot;kN/cm²&quot;"/>
    <numFmt numFmtId="189" formatCode="0.0000\ &quot;cm&quot;"/>
    <numFmt numFmtId="190" formatCode="0.0\ &quot;cm4&quot;"/>
    <numFmt numFmtId="191" formatCode="0.00\ &quot;kNꞏcm&quot;"/>
    <numFmt numFmtId="192" formatCode="0.0000\ &quot;m&quot;"/>
    <numFmt numFmtId="193" formatCode="0.0"/>
    <numFmt numFmtId="194" formatCode="\ &quot;cm&quot;"/>
    <numFmt numFmtId="195" formatCode="0\ &quot;º&quot;"/>
    <numFmt numFmtId="196" formatCode="0.0\ &quot;cm²&quot;"/>
    <numFmt numFmtId="197" formatCode="0.000\ &quot;kN/cm²&quot;"/>
    <numFmt numFmtId="198" formatCode="#,##0.000\ &quot;kN/cm²&quot;"/>
    <numFmt numFmtId="199" formatCode="0.00&quot;°&quot;"/>
    <numFmt numFmtId="200" formatCode="#,##0.0000\ &quot;kN/cm²&quot;"/>
    <numFmt numFmtId="201" formatCode="0.000\ &quot;m/s²&quot;"/>
    <numFmt numFmtId="202" formatCode="#,##0.00\ &quot;kN/m²&quot;"/>
    <numFmt numFmtId="203" formatCode="General\ &quot;peças&quot;"/>
    <numFmt numFmtId="204" formatCode="#,##0\ &quot;peças&quot;"/>
    <numFmt numFmtId="205" formatCode="&quot;R$ &quot;\ #,##0.00"/>
    <numFmt numFmtId="206" formatCode="&quot;R$&quot;\ #,##0.00"/>
    <numFmt numFmtId="207" formatCode="0.000\ &quot;kN/m²&quot;"/>
    <numFmt numFmtId="208" formatCode="0.0\ &quot;kN/m²&quot;"/>
    <numFmt numFmtId="209" formatCode="0.00\ &quot;kN/m&quot;"/>
    <numFmt numFmtId="210" formatCode="0.000\ &quot;cm&quot;"/>
    <numFmt numFmtId="211" formatCode="0.00\ &quot;°&quot;"/>
    <numFmt numFmtId="212" formatCode="0.000\ &quot;kNꞏcm&quot;"/>
    <numFmt numFmtId="213" formatCode="&quot;+&quot;General"/>
    <numFmt numFmtId="214" formatCode="0.0\ &quot;kN/cm²&quot;"/>
    <numFmt numFmtId="215" formatCode="0.000\ &quot;m&quot;"/>
    <numFmt numFmtId="216" formatCode="0.000\ &quot;kN&quot;"/>
    <numFmt numFmtId="217" formatCode="0.0\ &quot;kN&quot;"/>
    <numFmt numFmtId="218" formatCode="0.0\ &quot;kNm&quot;"/>
    <numFmt numFmtId="219" formatCode="0.00\ &quot;mm&quot;"/>
    <numFmt numFmtId="220" formatCode="0.0000\ &quot;°&quot;"/>
    <numFmt numFmtId="221" formatCode="&quot;+&quot;0"/>
    <numFmt numFmtId="222" formatCode="\(General\)"/>
    <numFmt numFmtId="223" formatCode="_-[$R$-416]\ * #,##0.00_-;\-[$R$-416]\ * #,##0.00_-;_-[$R$-416]\ * &quot;-&quot;??_-;_-@_-"/>
    <numFmt numFmtId="224" formatCode="0.00000"/>
  </numFmts>
  <fonts count="1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EABD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252219"/>
      <name val="Calibri"/>
      <family val="2"/>
      <scheme val="minor"/>
    </font>
    <font>
      <sz val="20"/>
      <color theme="0"/>
      <name val="Abadi"/>
      <family val="2"/>
    </font>
    <font>
      <sz val="11"/>
      <color theme="0"/>
      <name val="Arial"/>
      <family val="2"/>
    </font>
    <font>
      <sz val="8.5"/>
      <color theme="0"/>
      <name val="Symbol"/>
      <family val="1"/>
      <charset val="2"/>
    </font>
    <font>
      <sz val="5.5"/>
      <color theme="0"/>
      <name val="Arial"/>
      <family val="2"/>
    </font>
    <font>
      <sz val="8.5"/>
      <color theme="0"/>
      <name val="Arial"/>
      <family val="2"/>
    </font>
    <font>
      <vertAlign val="subscript"/>
      <sz val="8.5"/>
      <color theme="0"/>
      <name val="Arial"/>
      <family val="2"/>
    </font>
    <font>
      <i/>
      <sz val="8.5"/>
      <color theme="0"/>
      <name val="Arial"/>
      <family val="2"/>
    </font>
    <font>
      <sz val="11"/>
      <color rgb="FF322E22"/>
      <name val="Calibri"/>
      <family val="2"/>
      <scheme val="minor"/>
    </font>
    <font>
      <sz val="9"/>
      <color theme="0"/>
      <name val="Arial"/>
      <family val="2"/>
    </font>
    <font>
      <vertAlign val="subscript"/>
      <sz val="11"/>
      <color theme="0"/>
      <name val="Calibri"/>
      <family val="2"/>
      <scheme val="minor"/>
    </font>
    <font>
      <sz val="11"/>
      <color theme="0"/>
      <name val="Calibri Light"/>
      <family val="2"/>
      <scheme val="maj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CD1D6"/>
      <name val="Calibri"/>
      <family val="2"/>
      <scheme val="minor"/>
    </font>
    <font>
      <sz val="11"/>
      <color rgb="FFFF3E2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22E22"/>
      <name val="Calibri"/>
      <family val="2"/>
      <scheme val="minor"/>
    </font>
    <font>
      <sz val="11"/>
      <color rgb="FFF0FF5D"/>
      <name val="Calibri"/>
      <family val="2"/>
      <scheme val="minor"/>
    </font>
    <font>
      <sz val="11"/>
      <color theme="0"/>
      <name val="Times New Roman"/>
      <family val="1"/>
    </font>
    <font>
      <sz val="11"/>
      <color theme="0"/>
      <name val="Calibri"/>
      <family val="1"/>
    </font>
    <font>
      <sz val="11"/>
      <color theme="0"/>
      <name val="Calibri"/>
      <family val="2"/>
    </font>
    <font>
      <vertAlign val="subscript"/>
      <sz val="11"/>
      <color theme="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   "/>
    </font>
    <font>
      <b/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8"/>
      <color theme="0"/>
      <name val="Abadi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Calibri   "/>
    </font>
    <font>
      <sz val="11"/>
      <color rgb="FFFF717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theme="0"/>
      <name val="Calibri"/>
      <family val="2"/>
      <scheme val="minor"/>
    </font>
    <font>
      <strike/>
      <sz val="11"/>
      <color rgb="FF0CD1D6"/>
      <name val="Calibri"/>
      <family val="2"/>
      <scheme val="minor"/>
    </font>
    <font>
      <strike/>
      <sz val="11"/>
      <color rgb="FFFF3E2F"/>
      <name val="Calibri"/>
      <family val="2"/>
      <scheme val="minor"/>
    </font>
    <font>
      <strike/>
      <sz val="11"/>
      <color theme="0"/>
      <name val="Arial"/>
      <family val="2"/>
    </font>
    <font>
      <strike/>
      <sz val="11"/>
      <color rgb="FFF0FF5D"/>
      <name val="Calibri"/>
      <family val="2"/>
      <scheme val="minor"/>
    </font>
    <font>
      <vertAlign val="subscript"/>
      <sz val="11"/>
      <color theme="0"/>
      <name val="Arial"/>
      <family val="2"/>
    </font>
    <font>
      <b/>
      <vertAlign val="subscript"/>
      <sz val="11"/>
      <color theme="0"/>
      <name val="Calibri"/>
      <family val="2"/>
      <scheme val="minor"/>
    </font>
    <font>
      <sz val="11"/>
      <color rgb="FF2FC9FF"/>
      <name val="Calibri"/>
      <family val="2"/>
      <scheme val="minor"/>
    </font>
    <font>
      <b/>
      <sz val="11"/>
      <color rgb="FFFF7171"/>
      <name val="Calibri"/>
      <family val="2"/>
    </font>
    <font>
      <b/>
      <sz val="12"/>
      <color theme="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Calibri Light"/>
      <family val="2"/>
      <scheme val="major"/>
    </font>
    <font>
      <sz val="9"/>
      <color theme="0"/>
      <name val="Calibri Light"/>
      <family val="2"/>
      <scheme val="major"/>
    </font>
    <font>
      <sz val="11"/>
      <color rgb="FFEDF1FA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6"/>
      <name val="Calibri Light"/>
      <family val="2"/>
      <scheme val="major"/>
    </font>
    <font>
      <sz val="11"/>
      <color theme="0" tint="-0.34998626667073579"/>
      <name val="Calibri Light"/>
      <family val="2"/>
      <scheme val="major"/>
    </font>
    <font>
      <sz val="11"/>
      <color rgb="FFE59E2B"/>
      <name val="Calibri Light"/>
      <family val="2"/>
      <scheme val="major"/>
    </font>
    <font>
      <b/>
      <sz val="9"/>
      <color theme="0"/>
      <name val="Arial"/>
      <family val="2"/>
    </font>
    <font>
      <sz val="16"/>
      <color rgb="FF273853"/>
      <name val="Calibri Light"/>
      <family val="2"/>
      <scheme val="major"/>
    </font>
    <font>
      <sz val="11"/>
      <color rgb="FF273853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9.35"/>
      <color theme="0"/>
      <name val="Calibri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FFFF"/>
      <name val="Calibri Light"/>
      <family val="2"/>
      <scheme val="major"/>
    </font>
    <font>
      <sz val="11"/>
      <color theme="0"/>
      <name val="Segoe UI"/>
      <family val="2"/>
    </font>
    <font>
      <b/>
      <sz val="14"/>
      <color theme="0"/>
      <name val="Segoe UI"/>
      <family val="2"/>
    </font>
    <font>
      <sz val="10"/>
      <color theme="0" tint="-0.14999847407452621"/>
      <name val="Segoe UI"/>
      <family val="2"/>
    </font>
    <font>
      <sz val="10"/>
      <color theme="0"/>
      <name val="Segoe UI"/>
      <family val="2"/>
    </font>
    <font>
      <sz val="10"/>
      <color rgb="FFFD3F0B"/>
      <name val="Segoe UI"/>
      <family val="2"/>
    </font>
    <font>
      <u/>
      <sz val="11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22"/>
      <color theme="1"/>
      <name val="Calibri Light"/>
      <family val="2"/>
      <scheme val="major"/>
    </font>
    <font>
      <sz val="10"/>
      <color theme="1"/>
      <name val="Segoe UI Semibold"/>
      <family val="2"/>
    </font>
    <font>
      <sz val="11"/>
      <color rgb="FF889396"/>
      <name val="Calibri"/>
      <family val="2"/>
      <scheme val="minor"/>
    </font>
    <font>
      <sz val="10"/>
      <color theme="0"/>
      <name val="Segoe UI Semibold"/>
      <family val="2"/>
    </font>
    <font>
      <sz val="11"/>
      <color rgb="FF889396"/>
      <name val="Segoe UI Semibold"/>
      <family val="2"/>
    </font>
    <font>
      <sz val="10"/>
      <color rgb="FF889396"/>
      <name val="Segoe UI Semibold"/>
      <family val="2"/>
    </font>
    <font>
      <sz val="10"/>
      <color rgb="FF5E676A"/>
      <name val="Segoe UI Semibold"/>
      <family val="2"/>
    </font>
    <font>
      <sz val="9"/>
      <color rgb="FFA0A9B6"/>
      <name val="Segoe UI Semibold"/>
      <family val="2"/>
    </font>
    <font>
      <sz val="10"/>
      <color rgb="FFA0A9B6"/>
      <name val="Segoe UI Semibold"/>
      <family val="2"/>
    </font>
    <font>
      <vertAlign val="subscript"/>
      <sz val="9"/>
      <color rgb="FFA0A9B6"/>
      <name val="Segoe UI Semibold"/>
      <family val="2"/>
    </font>
    <font>
      <b/>
      <sz val="10"/>
      <color indexed="9"/>
      <name val="Segoe UI"/>
      <family val="2"/>
    </font>
    <font>
      <sz val="9"/>
      <color rgb="FF889396"/>
      <name val="Segoe UI Semibold"/>
      <family val="2"/>
    </font>
    <font>
      <sz val="9"/>
      <color theme="1"/>
      <name val="Segoe Script"/>
      <family val="4"/>
    </font>
    <font>
      <sz val="11"/>
      <color theme="0"/>
      <name val="Segoe UI Semibold"/>
      <family val="2"/>
    </font>
    <font>
      <vertAlign val="subscript"/>
      <sz val="11"/>
      <color theme="0"/>
      <name val="Segoe UI Semibold"/>
      <family val="2"/>
    </font>
    <font>
      <sz val="11"/>
      <color theme="1"/>
      <name val="Segoe UI Semibold"/>
      <family val="2"/>
    </font>
    <font>
      <sz val="8"/>
      <color theme="0"/>
      <name val="Segoe UI Semibold"/>
      <family val="2"/>
    </font>
    <font>
      <sz val="9"/>
      <color theme="0"/>
      <name val="Segoe UI Semibold"/>
      <family val="2"/>
    </font>
    <font>
      <sz val="11"/>
      <color rgb="FFFF0000"/>
      <name val="Segoe UI Semibold"/>
      <family val="2"/>
    </font>
    <font>
      <sz val="11"/>
      <color rgb="FFFD3F0B"/>
      <name val="Segoe UI Semibold"/>
      <family val="2"/>
    </font>
    <font>
      <vertAlign val="subscript"/>
      <sz val="11"/>
      <color rgb="FFFD3F0B"/>
      <name val="Segoe UI Semibold"/>
      <family val="2"/>
    </font>
    <font>
      <sz val="10"/>
      <color rgb="FFFD3F0B"/>
      <name val="Segoe UI Semibold"/>
      <family val="2"/>
    </font>
    <font>
      <vertAlign val="subscript"/>
      <sz val="10"/>
      <color rgb="FFFD3F0B"/>
      <name val="Segoe UI Semibold"/>
      <family val="2"/>
    </font>
    <font>
      <sz val="11"/>
      <color rgb="FF050607"/>
      <name val="Calibri Light"/>
      <family val="2"/>
      <scheme val="major"/>
    </font>
    <font>
      <sz val="16"/>
      <name val="Segoe UI Semibold"/>
      <family val="2"/>
    </font>
    <font>
      <sz val="11"/>
      <color rgb="FFCCA604"/>
      <name val="Segoe UI Semibold"/>
      <family val="2"/>
    </font>
    <font>
      <sz val="11"/>
      <color rgb="FFEABD00"/>
      <name val="Segoe UI Semibold"/>
      <family val="2"/>
    </font>
    <font>
      <sz val="22"/>
      <color theme="1"/>
      <name val="Segoe UI Semibold"/>
      <family val="2"/>
    </font>
    <font>
      <sz val="10"/>
      <color theme="1"/>
      <name val="Calibri Light"/>
      <family val="2"/>
      <scheme val="major"/>
    </font>
    <font>
      <sz val="12"/>
      <color theme="0"/>
      <name val="Segoe UI Semibold"/>
      <family val="2"/>
    </font>
    <font>
      <sz val="11"/>
      <color rgb="FF050607"/>
      <name val="Segoe UI Semibold"/>
      <family val="2"/>
    </font>
    <font>
      <sz val="11"/>
      <color rgb="FFFFD966"/>
      <name val="Segoe UI Semibold"/>
      <family val="2"/>
    </font>
    <font>
      <sz val="9"/>
      <color rgb="FFFD3F0B"/>
      <name val="Segoe UI Semibold"/>
      <family val="2"/>
    </font>
    <font>
      <sz val="22"/>
      <color rgb="FF241716"/>
      <name val="Segoe UI Semibold"/>
      <family val="2"/>
    </font>
    <font>
      <sz val="11"/>
      <color rgb="FF0070C0"/>
      <name val="Segoe UI Semibold"/>
      <family val="2"/>
    </font>
    <font>
      <vertAlign val="subscript"/>
      <sz val="10"/>
      <color theme="0"/>
      <name val="Segoe UI Semibold"/>
      <family val="2"/>
    </font>
    <font>
      <vertAlign val="subscript"/>
      <sz val="13"/>
      <color theme="0"/>
      <name val="Segoe UI Semibold"/>
      <family val="2"/>
    </font>
    <font>
      <sz val="12"/>
      <color rgb="FFFD3F0B"/>
      <name val="Segoe UI Semibold"/>
      <family val="2"/>
    </font>
    <font>
      <sz val="11"/>
      <color rgb="FFFD3F0B"/>
      <name val="Calibri Light"/>
      <family val="2"/>
      <scheme val="major"/>
    </font>
    <font>
      <sz val="20"/>
      <color rgb="FFFD3F0B"/>
      <name val="Segoe UI Semibold"/>
      <family val="2"/>
    </font>
    <font>
      <sz val="11"/>
      <color rgb="FF1D2125"/>
      <name val="Calibri"/>
      <family val="2"/>
      <scheme val="minor"/>
    </font>
    <font>
      <sz val="10"/>
      <color theme="0" tint="-0.249977111117893"/>
      <name val="Segoe UI Semibold"/>
      <family val="2"/>
    </font>
  </fonts>
  <fills count="27">
    <fill>
      <patternFill patternType="none"/>
    </fill>
    <fill>
      <patternFill patternType="gray125"/>
    </fill>
    <fill>
      <patternFill patternType="solid">
        <fgColor rgb="FF322E22"/>
        <bgColor indexed="64"/>
      </patternFill>
    </fill>
    <fill>
      <patternFill patternType="solid">
        <fgColor rgb="FF504936"/>
        <bgColor indexed="64"/>
      </patternFill>
    </fill>
    <fill>
      <patternFill patternType="solid">
        <fgColor rgb="FFEABD00"/>
        <bgColor indexed="64"/>
      </patternFill>
    </fill>
    <fill>
      <patternFill patternType="solid">
        <fgColor rgb="FF2522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4120E"/>
        <bgColor indexed="64"/>
      </patternFill>
    </fill>
    <fill>
      <patternFill patternType="solid">
        <fgColor rgb="FF00FA65"/>
        <bgColor indexed="64"/>
      </patternFill>
    </fill>
    <fill>
      <patternFill patternType="solid">
        <fgColor rgb="FFFF0D35"/>
        <bgColor indexed="64"/>
      </patternFill>
    </fill>
    <fill>
      <patternFill patternType="solid">
        <fgColor rgb="FF19171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E9022"/>
        <bgColor indexed="64"/>
      </patternFill>
    </fill>
    <fill>
      <patternFill patternType="solid">
        <fgColor rgb="FFEDF1FA"/>
        <bgColor indexed="64"/>
      </patternFill>
    </fill>
    <fill>
      <patternFill patternType="solid">
        <fgColor rgb="FF23100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C0C0C"/>
        <bgColor indexed="64"/>
      </patternFill>
    </fill>
    <fill>
      <patternFill patternType="solid">
        <fgColor rgb="FF313537"/>
        <bgColor indexed="64"/>
      </patternFill>
    </fill>
    <fill>
      <patternFill patternType="solid">
        <fgColor rgb="FF16191C"/>
        <bgColor indexed="64"/>
      </patternFill>
    </fill>
    <fill>
      <patternFill patternType="solid">
        <fgColor rgb="FF191919"/>
        <bgColor indexed="64"/>
      </patternFill>
    </fill>
    <fill>
      <patternFill patternType="solid">
        <fgColor rgb="FF050607"/>
        <bgColor indexed="64"/>
      </patternFill>
    </fill>
    <fill>
      <patternFill patternType="solid">
        <fgColor rgb="FF1D2125"/>
        <bgColor indexed="64"/>
      </patternFill>
    </fill>
    <fill>
      <patternFill patternType="solid">
        <fgColor rgb="FFFD3F0B"/>
        <bgColor indexed="64"/>
      </patternFill>
    </fill>
    <fill>
      <patternFill patternType="solid">
        <fgColor rgb="FF11131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93427"/>
        <bgColor indexed="64"/>
      </patternFill>
    </fill>
  </fills>
  <borders count="69">
    <border>
      <left/>
      <right/>
      <top/>
      <bottom/>
      <diagonal/>
    </border>
    <border>
      <left style="thin">
        <color rgb="FF252219"/>
      </left>
      <right style="thin">
        <color rgb="FF252219"/>
      </right>
      <top style="thin">
        <color rgb="FF252219"/>
      </top>
      <bottom style="thin">
        <color rgb="FF252219"/>
      </bottom>
      <diagonal/>
    </border>
    <border>
      <left style="thin">
        <color rgb="FF252219"/>
      </left>
      <right/>
      <top style="thin">
        <color rgb="FF252219"/>
      </top>
      <bottom style="thin">
        <color rgb="FF252219"/>
      </bottom>
      <diagonal/>
    </border>
    <border>
      <left style="thin">
        <color rgb="FF252219"/>
      </left>
      <right style="thin">
        <color rgb="FF252219"/>
      </right>
      <top style="thin">
        <color rgb="FF252219"/>
      </top>
      <bottom/>
      <diagonal/>
    </border>
    <border>
      <left style="thin">
        <color rgb="FF252219"/>
      </left>
      <right style="thin">
        <color rgb="FF252219"/>
      </right>
      <top/>
      <bottom style="thin">
        <color rgb="FF252219"/>
      </bottom>
      <diagonal/>
    </border>
    <border>
      <left style="thin">
        <color rgb="FF252219"/>
      </left>
      <right/>
      <top/>
      <bottom style="thin">
        <color rgb="FF252219"/>
      </bottom>
      <diagonal/>
    </border>
    <border>
      <left/>
      <right style="thin">
        <color rgb="FF252219"/>
      </right>
      <top/>
      <bottom style="thin">
        <color rgb="FF252219"/>
      </bottom>
      <diagonal/>
    </border>
    <border>
      <left/>
      <right/>
      <top/>
      <bottom style="thin">
        <color rgb="FF252219"/>
      </bottom>
      <diagonal/>
    </border>
    <border>
      <left style="thin">
        <color rgb="FF252219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252219"/>
      </right>
      <top style="thin">
        <color rgb="FF252219"/>
      </top>
      <bottom/>
      <diagonal/>
    </border>
    <border>
      <left/>
      <right style="thin">
        <color rgb="FF252219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rgb="FF252219"/>
      </bottom>
      <diagonal/>
    </border>
    <border>
      <left/>
      <right/>
      <top style="thin">
        <color theme="1" tint="4.9989318521683403E-2"/>
      </top>
      <bottom style="thin">
        <color rgb="FF252219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rgb="FF252219"/>
      </bottom>
      <diagonal/>
    </border>
    <border>
      <left style="thin">
        <color theme="1" tint="4.9989318521683403E-2"/>
      </left>
      <right style="thin">
        <color rgb="FF252219"/>
      </right>
      <top style="thin">
        <color rgb="FF252219"/>
      </top>
      <bottom style="thin">
        <color rgb="FF252219"/>
      </bottom>
      <diagonal/>
    </border>
    <border>
      <left style="thin">
        <color rgb="FF252219"/>
      </left>
      <right style="thin">
        <color theme="1" tint="4.9989318521683403E-2"/>
      </right>
      <top style="thin">
        <color rgb="FF252219"/>
      </top>
      <bottom style="thin">
        <color rgb="FF252219"/>
      </bottom>
      <diagonal/>
    </border>
    <border>
      <left style="thin">
        <color theme="1" tint="4.9989318521683403E-2"/>
      </left>
      <right style="thin">
        <color rgb="FF252219"/>
      </right>
      <top style="thin">
        <color rgb="FF252219"/>
      </top>
      <bottom style="thin">
        <color theme="1" tint="4.9989318521683403E-2"/>
      </bottom>
      <diagonal/>
    </border>
    <border>
      <left style="thin">
        <color rgb="FF252219"/>
      </left>
      <right style="thin">
        <color rgb="FF252219"/>
      </right>
      <top style="thin">
        <color rgb="FF252219"/>
      </top>
      <bottom style="thin">
        <color theme="1" tint="4.9989318521683403E-2"/>
      </bottom>
      <diagonal/>
    </border>
    <border>
      <left style="thin">
        <color rgb="FF252219"/>
      </left>
      <right style="thin">
        <color theme="1" tint="4.9989318521683403E-2"/>
      </right>
      <top style="thin">
        <color rgb="FF252219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33533"/>
      </bottom>
      <diagonal/>
    </border>
    <border>
      <left style="thin">
        <color rgb="FF74382E"/>
      </left>
      <right/>
      <top/>
      <bottom/>
      <diagonal/>
    </border>
    <border>
      <left/>
      <right style="thin">
        <color rgb="FF74382E"/>
      </right>
      <top/>
      <bottom/>
      <diagonal/>
    </border>
    <border>
      <left/>
      <right/>
      <top/>
      <bottom style="thin">
        <color rgb="FF889396"/>
      </bottom>
      <diagonal/>
    </border>
    <border>
      <left style="thin">
        <color rgb="FF5E676A"/>
      </left>
      <right/>
      <top/>
      <bottom/>
      <diagonal/>
    </border>
    <border>
      <left/>
      <right/>
      <top style="thin">
        <color rgb="FF889396"/>
      </top>
      <bottom/>
      <diagonal/>
    </border>
    <border>
      <left/>
      <right/>
      <top/>
      <bottom style="thin">
        <color rgb="FF313333"/>
      </bottom>
      <diagonal/>
    </border>
    <border>
      <left/>
      <right/>
      <top style="thin">
        <color rgb="FF313333"/>
      </top>
      <bottom style="thin">
        <color rgb="FF313537"/>
      </bottom>
      <diagonal/>
    </border>
    <border>
      <left/>
      <right/>
      <top style="thin">
        <color rgb="FF313537"/>
      </top>
      <bottom style="thin">
        <color rgb="FF313537"/>
      </bottom>
      <diagonal/>
    </border>
    <border>
      <left/>
      <right style="thin">
        <color rgb="FF5E676A"/>
      </right>
      <top/>
      <bottom/>
      <diagonal/>
    </border>
    <border>
      <left/>
      <right/>
      <top/>
      <bottom style="thin">
        <color rgb="FFA7ACC5"/>
      </bottom>
      <diagonal/>
    </border>
    <border>
      <left/>
      <right/>
      <top/>
      <bottom style="thin">
        <color rgb="FF5E676A"/>
      </bottom>
      <diagonal/>
    </border>
    <border>
      <left/>
      <right/>
      <top/>
      <bottom style="thin">
        <color rgb="FF313537"/>
      </bottom>
      <diagonal/>
    </border>
    <border>
      <left/>
      <right style="thin">
        <color rgb="FF4F5659"/>
      </right>
      <top/>
      <bottom/>
      <diagonal/>
    </border>
    <border>
      <left style="thin">
        <color rgb="FF4F5659"/>
      </left>
      <right/>
      <top/>
      <bottom/>
      <diagonal/>
    </border>
    <border>
      <left/>
      <right/>
      <top style="thin">
        <color rgb="FF313333"/>
      </top>
      <bottom/>
      <diagonal/>
    </border>
    <border>
      <left/>
      <right style="thin">
        <color rgb="FF313537"/>
      </right>
      <top style="thin">
        <color rgb="FF313537"/>
      </top>
      <bottom style="thin">
        <color rgb="FF313537"/>
      </bottom>
      <diagonal/>
    </border>
    <border>
      <left style="thin">
        <color rgb="FF313537"/>
      </left>
      <right style="thin">
        <color rgb="FF313537"/>
      </right>
      <top style="thin">
        <color rgb="FF313537"/>
      </top>
      <bottom style="thin">
        <color rgb="FF313537"/>
      </bottom>
      <diagonal/>
    </border>
    <border>
      <left style="thin">
        <color rgb="FF313537"/>
      </left>
      <right/>
      <top style="thin">
        <color rgb="FF313537"/>
      </top>
      <bottom style="thin">
        <color rgb="FF313537"/>
      </bottom>
      <diagonal/>
    </border>
    <border>
      <left/>
      <right style="thin">
        <color rgb="FF313537"/>
      </right>
      <top style="thin">
        <color rgb="FF313537"/>
      </top>
      <bottom/>
      <diagonal/>
    </border>
    <border>
      <left/>
      <right style="thin">
        <color rgb="FF313537"/>
      </right>
      <top/>
      <bottom/>
      <diagonal/>
    </border>
    <border>
      <left style="thin">
        <color rgb="FF313537"/>
      </left>
      <right style="thin">
        <color rgb="FF313537"/>
      </right>
      <top/>
      <bottom/>
      <diagonal/>
    </border>
    <border>
      <left/>
      <right style="thin">
        <color rgb="FF313537"/>
      </right>
      <top/>
      <bottom style="thin">
        <color rgb="FF313537"/>
      </bottom>
      <diagonal/>
    </border>
    <border>
      <left style="thin">
        <color rgb="FF313537"/>
      </left>
      <right style="thin">
        <color rgb="FF313537"/>
      </right>
      <top/>
      <bottom style="thin">
        <color rgb="FF313537"/>
      </bottom>
      <diagonal/>
    </border>
    <border>
      <left style="thin">
        <color rgb="FF313537"/>
      </left>
      <right/>
      <top/>
      <bottom/>
      <diagonal/>
    </border>
    <border>
      <left style="thin">
        <color rgb="FF313537"/>
      </left>
      <right/>
      <top/>
      <bottom style="thin">
        <color rgb="FF313537"/>
      </bottom>
      <diagonal/>
    </border>
    <border>
      <left/>
      <right/>
      <top style="thin">
        <color rgb="FF313537"/>
      </top>
      <bottom/>
      <diagonal/>
    </border>
    <border>
      <left style="thin">
        <color rgb="FF313537"/>
      </left>
      <right/>
      <top style="thin">
        <color rgb="FF313537"/>
      </top>
      <bottom/>
      <diagonal/>
    </border>
    <border>
      <left/>
      <right style="thick">
        <color rgb="FF313537"/>
      </right>
      <top/>
      <bottom/>
      <diagonal/>
    </border>
    <border>
      <left style="thin">
        <color rgb="FF313537"/>
      </left>
      <right style="thin">
        <color rgb="FF313537"/>
      </right>
      <top style="thin">
        <color rgb="FF313537"/>
      </top>
      <bottom/>
      <diagonal/>
    </border>
    <border>
      <left style="thin">
        <color rgb="FF252219"/>
      </left>
      <right/>
      <top style="thin">
        <color rgb="FF252219"/>
      </top>
      <bottom style="thin">
        <color rgb="FF313537"/>
      </bottom>
      <diagonal/>
    </border>
    <border>
      <left/>
      <right style="thin">
        <color rgb="FF252219"/>
      </right>
      <top style="thin">
        <color rgb="FF252219"/>
      </top>
      <bottom style="thin">
        <color rgb="FF31353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252219"/>
      </left>
      <right style="thin">
        <color rgb="FF252219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8" fillId="0" borderId="0" applyNumberFormat="0" applyFill="0" applyBorder="0" applyAlignment="0" applyProtection="0"/>
  </cellStyleXfs>
  <cellXfs count="897">
    <xf numFmtId="0" fontId="0" fillId="0" borderId="0" xfId="0"/>
    <xf numFmtId="0" fontId="0" fillId="2" borderId="0" xfId="0" applyFill="1"/>
    <xf numFmtId="0" fontId="2" fillId="5" borderId="1" xfId="0" applyFont="1" applyFill="1" applyBorder="1"/>
    <xf numFmtId="0" fontId="7" fillId="2" borderId="0" xfId="0" applyFont="1" applyFill="1"/>
    <xf numFmtId="165" fontId="2" fillId="2" borderId="0" xfId="0" applyNumberFormat="1" applyFont="1" applyFill="1"/>
    <xf numFmtId="0" fontId="6" fillId="2" borderId="0" xfId="0" applyFont="1" applyFill="1"/>
    <xf numFmtId="0" fontId="2" fillId="5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8" fillId="5" borderId="1" xfId="0" applyFont="1" applyFill="1" applyBorder="1"/>
    <xf numFmtId="0" fontId="18" fillId="3" borderId="1" xfId="0" applyFont="1" applyFill="1" applyBorder="1"/>
    <xf numFmtId="2" fontId="18" fillId="3" borderId="1" xfId="0" applyNumberFormat="1" applyFont="1" applyFill="1" applyBorder="1"/>
    <xf numFmtId="177" fontId="18" fillId="3" borderId="1" xfId="0" applyNumberFormat="1" applyFont="1" applyFill="1" applyBorder="1"/>
    <xf numFmtId="171" fontId="23" fillId="2" borderId="0" xfId="0" applyNumberFormat="1" applyFont="1" applyFill="1" applyAlignment="1">
      <alignment horizontal="center"/>
    </xf>
    <xf numFmtId="171" fontId="24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71" fontId="23" fillId="2" borderId="0" xfId="0" applyNumberFormat="1" applyFont="1" applyFill="1" applyAlignment="1">
      <alignment horizontal="left"/>
    </xf>
    <xf numFmtId="0" fontId="26" fillId="6" borderId="9" xfId="0" applyFont="1" applyFill="1" applyBorder="1" applyAlignment="1">
      <alignment horizontal="center"/>
    </xf>
    <xf numFmtId="0" fontId="22" fillId="2" borderId="9" xfId="0" applyFont="1" applyFill="1" applyBorder="1"/>
    <xf numFmtId="0" fontId="0" fillId="2" borderId="9" xfId="0" applyFill="1" applyBorder="1"/>
    <xf numFmtId="171" fontId="27" fillId="2" borderId="9" xfId="0" applyNumberFormat="1" applyFont="1" applyFill="1" applyBorder="1" applyAlignment="1">
      <alignment horizontal="center"/>
    </xf>
    <xf numFmtId="0" fontId="23" fillId="2" borderId="0" xfId="0" applyFont="1" applyFill="1"/>
    <xf numFmtId="0" fontId="23" fillId="2" borderId="0" xfId="0" applyFont="1" applyFill="1" applyAlignment="1">
      <alignment horizontal="right"/>
    </xf>
    <xf numFmtId="171" fontId="27" fillId="2" borderId="0" xfId="0" applyNumberFormat="1" applyFont="1" applyFill="1" applyAlignment="1">
      <alignment horizontal="left"/>
    </xf>
    <xf numFmtId="171" fontId="27" fillId="2" borderId="9" xfId="0" applyNumberFormat="1" applyFont="1" applyFill="1" applyBorder="1" applyAlignment="1">
      <alignment horizontal="right"/>
    </xf>
    <xf numFmtId="0" fontId="0" fillId="7" borderId="0" xfId="0" applyFill="1"/>
    <xf numFmtId="0" fontId="7" fillId="7" borderId="0" xfId="0" applyFont="1" applyFill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2" xfId="0" applyFill="1" applyBorder="1"/>
    <xf numFmtId="183" fontId="0" fillId="2" borderId="0" xfId="0" applyNumberFormat="1" applyFill="1"/>
    <xf numFmtId="183" fontId="2" fillId="2" borderId="0" xfId="0" applyNumberFormat="1" applyFont="1" applyFill="1"/>
    <xf numFmtId="183" fontId="2" fillId="2" borderId="0" xfId="0" applyNumberFormat="1" applyFont="1" applyFill="1" applyAlignment="1">
      <alignment horizontal="center"/>
    </xf>
    <xf numFmtId="0" fontId="26" fillId="6" borderId="14" xfId="0" applyFont="1" applyFill="1" applyBorder="1" applyAlignment="1">
      <alignment horizontal="center"/>
    </xf>
    <xf numFmtId="0" fontId="0" fillId="2" borderId="14" xfId="0" applyFill="1" applyBorder="1"/>
    <xf numFmtId="171" fontId="2" fillId="2" borderId="0" xfId="0" applyNumberFormat="1" applyFont="1" applyFill="1" applyAlignment="1">
      <alignment horizontal="left"/>
    </xf>
    <xf numFmtId="0" fontId="0" fillId="2" borderId="17" xfId="0" applyFill="1" applyBorder="1"/>
    <xf numFmtId="0" fontId="22" fillId="5" borderId="1" xfId="0" applyFont="1" applyFill="1" applyBorder="1"/>
    <xf numFmtId="0" fontId="25" fillId="8" borderId="1" xfId="0" applyFont="1" applyFill="1" applyBorder="1"/>
    <xf numFmtId="0" fontId="25" fillId="9" borderId="1" xfId="0" applyFont="1" applyFill="1" applyBorder="1"/>
    <xf numFmtId="169" fontId="2" fillId="3" borderId="1" xfId="0" applyNumberFormat="1" applyFont="1" applyFill="1" applyBorder="1"/>
    <xf numFmtId="0" fontId="2" fillId="5" borderId="21" xfId="0" applyFont="1" applyFill="1" applyBorder="1"/>
    <xf numFmtId="0" fontId="2" fillId="5" borderId="22" xfId="0" applyFont="1" applyFill="1" applyBorder="1"/>
    <xf numFmtId="194" fontId="2" fillId="3" borderId="21" xfId="0" applyNumberFormat="1" applyFont="1" applyFill="1" applyBorder="1"/>
    <xf numFmtId="169" fontId="2" fillId="3" borderId="22" xfId="0" applyNumberFormat="1" applyFont="1" applyFill="1" applyBorder="1"/>
    <xf numFmtId="194" fontId="2" fillId="3" borderId="23" xfId="0" applyNumberFormat="1" applyFont="1" applyFill="1" applyBorder="1"/>
    <xf numFmtId="169" fontId="2" fillId="3" borderId="24" xfId="0" applyNumberFormat="1" applyFont="1" applyFill="1" applyBorder="1"/>
    <xf numFmtId="169" fontId="2" fillId="3" borderId="25" xfId="0" applyNumberFormat="1" applyFont="1" applyFill="1" applyBorder="1"/>
    <xf numFmtId="0" fontId="39" fillId="7" borderId="0" xfId="0" applyFont="1" applyFill="1" applyAlignment="1">
      <alignment horizontal="center" vertical="center"/>
    </xf>
    <xf numFmtId="171" fontId="27" fillId="2" borderId="0" xfId="0" applyNumberFormat="1" applyFont="1" applyFill="1" applyAlignment="1">
      <alignment horizontal="right"/>
    </xf>
    <xf numFmtId="0" fontId="2" fillId="5" borderId="0" xfId="0" applyFont="1" applyFill="1"/>
    <xf numFmtId="0" fontId="8" fillId="5" borderId="0" xfId="0" applyFont="1" applyFill="1" applyAlignment="1">
      <alignment horizontal="center"/>
    </xf>
    <xf numFmtId="0" fontId="15" fillId="3" borderId="2" xfId="0" applyFont="1" applyFill="1" applyBorder="1" applyAlignment="1">
      <alignment horizontal="center" vertical="center" wrapText="1"/>
    </xf>
    <xf numFmtId="0" fontId="25" fillId="2" borderId="0" xfId="0" applyFont="1" applyFill="1"/>
    <xf numFmtId="0" fontId="14" fillId="2" borderId="0" xfId="0" applyFont="1" applyFill="1"/>
    <xf numFmtId="0" fontId="11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183" fontId="2" fillId="2" borderId="0" xfId="0" applyNumberFormat="1" applyFont="1" applyFill="1" applyAlignment="1">
      <alignment horizontal="left"/>
    </xf>
    <xf numFmtId="0" fontId="2" fillId="2" borderId="9" xfId="0" applyFont="1" applyFill="1" applyBorder="1"/>
    <xf numFmtId="0" fontId="2" fillId="2" borderId="11" xfId="0" applyFont="1" applyFill="1" applyBorder="1"/>
    <xf numFmtId="0" fontId="0" fillId="2" borderId="29" xfId="0" applyFill="1" applyBorder="1"/>
    <xf numFmtId="186" fontId="22" fillId="2" borderId="0" xfId="0" applyNumberFormat="1" applyFont="1" applyFill="1"/>
    <xf numFmtId="182" fontId="22" fillId="2" borderId="0" xfId="0" applyNumberFormat="1" applyFont="1" applyFill="1"/>
    <xf numFmtId="0" fontId="8" fillId="2" borderId="0" xfId="0" applyFont="1" applyFill="1" applyAlignment="1">
      <alignment horizontal="center"/>
    </xf>
    <xf numFmtId="192" fontId="22" fillId="2" borderId="0" xfId="0" applyNumberFormat="1" applyFont="1" applyFill="1" applyAlignment="1">
      <alignment horizontal="right"/>
    </xf>
    <xf numFmtId="171" fontId="22" fillId="2" borderId="0" xfId="0" applyNumberFormat="1" applyFont="1" applyFill="1" applyAlignment="1">
      <alignment horizontal="right"/>
    </xf>
    <xf numFmtId="0" fontId="34" fillId="2" borderId="0" xfId="0" applyFont="1" applyFill="1"/>
    <xf numFmtId="0" fontId="22" fillId="2" borderId="0" xfId="0" applyFont="1" applyFill="1"/>
    <xf numFmtId="183" fontId="22" fillId="2" borderId="0" xfId="0" applyNumberFormat="1" applyFont="1" applyFill="1"/>
    <xf numFmtId="193" fontId="22" fillId="2" borderId="0" xfId="0" applyNumberFormat="1" applyFont="1" applyFill="1"/>
    <xf numFmtId="191" fontId="22" fillId="2" borderId="0" xfId="0" applyNumberFormat="1" applyFont="1" applyFill="1"/>
    <xf numFmtId="0" fontId="29" fillId="2" borderId="0" xfId="0" applyFont="1" applyFill="1" applyAlignment="1">
      <alignment horizontal="center"/>
    </xf>
    <xf numFmtId="188" fontId="22" fillId="2" borderId="0" xfId="0" applyNumberFormat="1" applyFont="1" applyFill="1"/>
    <xf numFmtId="188" fontId="22" fillId="2" borderId="0" xfId="0" applyNumberFormat="1" applyFont="1" applyFill="1" applyAlignment="1">
      <alignment horizontal="right"/>
    </xf>
    <xf numFmtId="0" fontId="33" fillId="2" borderId="0" xfId="0" applyFont="1" applyFill="1"/>
    <xf numFmtId="0" fontId="35" fillId="2" borderId="0" xfId="0" applyFont="1" applyFill="1" applyAlignment="1">
      <alignment horizontal="center"/>
    </xf>
    <xf numFmtId="171" fontId="22" fillId="2" borderId="0" xfId="0" applyNumberFormat="1" applyFont="1" applyFill="1" applyAlignment="1">
      <alignment horizontal="center"/>
    </xf>
    <xf numFmtId="0" fontId="32" fillId="2" borderId="0" xfId="0" applyFont="1" applyFill="1" applyAlignment="1">
      <alignment vertical="center"/>
    </xf>
    <xf numFmtId="192" fontId="0" fillId="2" borderId="0" xfId="0" applyNumberFormat="1" applyFill="1"/>
    <xf numFmtId="0" fontId="43" fillId="2" borderId="0" xfId="0" applyFont="1" applyFill="1"/>
    <xf numFmtId="171" fontId="45" fillId="2" borderId="0" xfId="0" applyNumberFormat="1" applyFont="1" applyFill="1" applyAlignment="1">
      <alignment horizontal="center"/>
    </xf>
    <xf numFmtId="171" fontId="46" fillId="2" borderId="0" xfId="0" applyNumberFormat="1" applyFont="1" applyFill="1" applyAlignment="1">
      <alignment horizontal="center"/>
    </xf>
    <xf numFmtId="171" fontId="45" fillId="2" borderId="13" xfId="0" applyNumberFormat="1" applyFont="1" applyFill="1" applyBorder="1" applyAlignment="1">
      <alignment horizontal="center"/>
    </xf>
    <xf numFmtId="171" fontId="45" fillId="2" borderId="0" xfId="0" applyNumberFormat="1" applyFont="1" applyFill="1" applyAlignment="1">
      <alignment horizontal="left"/>
    </xf>
    <xf numFmtId="0" fontId="26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2" xfId="0" applyFont="1" applyFill="1" applyBorder="1"/>
    <xf numFmtId="0" fontId="44" fillId="2" borderId="9" xfId="0" applyFont="1" applyFill="1" applyBorder="1"/>
    <xf numFmtId="183" fontId="44" fillId="2" borderId="0" xfId="0" applyNumberFormat="1" applyFont="1" applyFill="1"/>
    <xf numFmtId="0" fontId="44" fillId="2" borderId="0" xfId="0" applyFont="1" applyFill="1"/>
    <xf numFmtId="0" fontId="44" fillId="2" borderId="9" xfId="0" applyFont="1" applyFill="1" applyBorder="1" applyAlignment="1">
      <alignment horizontal="right"/>
    </xf>
    <xf numFmtId="0" fontId="47" fillId="2" borderId="9" xfId="0" applyFont="1" applyFill="1" applyBorder="1" applyAlignment="1">
      <alignment horizontal="right"/>
    </xf>
    <xf numFmtId="199" fontId="44" fillId="2" borderId="0" xfId="0" applyNumberFormat="1" applyFont="1" applyFill="1" applyAlignment="1">
      <alignment horizontal="left"/>
    </xf>
    <xf numFmtId="0" fontId="44" fillId="2" borderId="10" xfId="0" applyFont="1" applyFill="1" applyBorder="1" applyAlignment="1">
      <alignment horizontal="right"/>
    </xf>
    <xf numFmtId="0" fontId="43" fillId="2" borderId="9" xfId="0" applyFont="1" applyFill="1" applyBorder="1"/>
    <xf numFmtId="183" fontId="43" fillId="2" borderId="0" xfId="0" applyNumberFormat="1" applyFont="1" applyFill="1"/>
    <xf numFmtId="171" fontId="48" fillId="2" borderId="0" xfId="0" applyNumberFormat="1" applyFont="1" applyFill="1" applyAlignment="1">
      <alignment horizontal="left"/>
    </xf>
    <xf numFmtId="171" fontId="46" fillId="2" borderId="0" xfId="0" applyNumberFormat="1" applyFont="1" applyFill="1" applyAlignment="1">
      <alignment horizontal="left"/>
    </xf>
    <xf numFmtId="194" fontId="3" fillId="3" borderId="21" xfId="0" applyNumberFormat="1" applyFont="1" applyFill="1" applyBorder="1"/>
    <xf numFmtId="169" fontId="3" fillId="3" borderId="1" xfId="0" applyNumberFormat="1" applyFont="1" applyFill="1" applyBorder="1"/>
    <xf numFmtId="169" fontId="3" fillId="3" borderId="22" xfId="0" applyNumberFormat="1" applyFont="1" applyFill="1" applyBorder="1"/>
    <xf numFmtId="194" fontId="3" fillId="3" borderId="23" xfId="0" applyNumberFormat="1" applyFont="1" applyFill="1" applyBorder="1"/>
    <xf numFmtId="169" fontId="3" fillId="3" borderId="24" xfId="0" applyNumberFormat="1" applyFont="1" applyFill="1" applyBorder="1"/>
    <xf numFmtId="169" fontId="3" fillId="3" borderId="25" xfId="0" applyNumberFormat="1" applyFont="1" applyFill="1" applyBorder="1"/>
    <xf numFmtId="0" fontId="2" fillId="3" borderId="26" xfId="0" applyFont="1" applyFill="1" applyBorder="1"/>
    <xf numFmtId="0" fontId="33" fillId="3" borderId="26" xfId="0" applyFont="1" applyFill="1" applyBorder="1"/>
    <xf numFmtId="0" fontId="33" fillId="3" borderId="26" xfId="0" applyFont="1" applyFill="1" applyBorder="1" applyAlignment="1">
      <alignment horizontal="center"/>
    </xf>
    <xf numFmtId="0" fontId="33" fillId="3" borderId="27" xfId="0" applyFont="1" applyFill="1" applyBorder="1"/>
    <xf numFmtId="171" fontId="2" fillId="12" borderId="0" xfId="0" applyNumberFormat="1" applyFont="1" applyFill="1"/>
    <xf numFmtId="0" fontId="2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/>
    </xf>
    <xf numFmtId="0" fontId="42" fillId="2" borderId="9" xfId="0" applyFont="1" applyFill="1" applyBorder="1" applyAlignment="1">
      <alignment horizontal="right"/>
    </xf>
    <xf numFmtId="171" fontId="42" fillId="2" borderId="0" xfId="0" applyNumberFormat="1" applyFont="1" applyFill="1" applyAlignment="1">
      <alignment horizontal="left"/>
    </xf>
    <xf numFmtId="0" fontId="51" fillId="2" borderId="9" xfId="0" applyFont="1" applyFill="1" applyBorder="1" applyAlignment="1">
      <alignment horizontal="right"/>
    </xf>
    <xf numFmtId="171" fontId="51" fillId="2" borderId="0" xfId="0" applyNumberFormat="1" applyFont="1" applyFill="1" applyAlignment="1">
      <alignment horizontal="left"/>
    </xf>
    <xf numFmtId="0" fontId="2" fillId="2" borderId="9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199" fontId="2" fillId="2" borderId="0" xfId="0" applyNumberFormat="1" applyFont="1" applyFill="1" applyAlignment="1">
      <alignment horizontal="left"/>
    </xf>
    <xf numFmtId="0" fontId="2" fillId="2" borderId="10" xfId="0" applyFont="1" applyFill="1" applyBorder="1" applyAlignment="1">
      <alignment horizontal="right"/>
    </xf>
    <xf numFmtId="199" fontId="2" fillId="2" borderId="11" xfId="0" applyNumberFormat="1" applyFont="1" applyFill="1" applyBorder="1" applyAlignment="1">
      <alignment horizontal="left"/>
    </xf>
    <xf numFmtId="9" fontId="2" fillId="3" borderId="26" xfId="1" applyFont="1" applyFill="1" applyBorder="1"/>
    <xf numFmtId="9" fontId="2" fillId="3" borderId="26" xfId="0" applyNumberFormat="1" applyFont="1" applyFill="1" applyBorder="1"/>
    <xf numFmtId="0" fontId="53" fillId="2" borderId="0" xfId="0" applyFont="1" applyFill="1" applyAlignment="1">
      <alignment horizontal="center"/>
    </xf>
    <xf numFmtId="180" fontId="18" fillId="3" borderId="1" xfId="0" applyNumberFormat="1" applyFont="1" applyFill="1" applyBorder="1"/>
    <xf numFmtId="165" fontId="54" fillId="3" borderId="26" xfId="0" applyNumberFormat="1" applyFont="1" applyFill="1" applyBorder="1"/>
    <xf numFmtId="4" fontId="54" fillId="3" borderId="26" xfId="0" applyNumberFormat="1" applyFont="1" applyFill="1" applyBorder="1"/>
    <xf numFmtId="204" fontId="54" fillId="3" borderId="26" xfId="0" applyNumberFormat="1" applyFont="1" applyFill="1" applyBorder="1"/>
    <xf numFmtId="184" fontId="54" fillId="3" borderId="26" xfId="0" applyNumberFormat="1" applyFont="1" applyFill="1" applyBorder="1"/>
    <xf numFmtId="206" fontId="54" fillId="3" borderId="26" xfId="0" applyNumberFormat="1" applyFont="1" applyFill="1" applyBorder="1"/>
    <xf numFmtId="164" fontId="54" fillId="3" borderId="26" xfId="0" applyNumberFormat="1" applyFont="1" applyFill="1" applyBorder="1"/>
    <xf numFmtId="0" fontId="18" fillId="3" borderId="3" xfId="0" applyFont="1" applyFill="1" applyBorder="1"/>
    <xf numFmtId="2" fontId="18" fillId="3" borderId="3" xfId="0" applyNumberFormat="1" applyFont="1" applyFill="1" applyBorder="1"/>
    <xf numFmtId="0" fontId="55" fillId="13" borderId="0" xfId="0" applyFont="1" applyFill="1"/>
    <xf numFmtId="0" fontId="0" fillId="13" borderId="0" xfId="0" applyFill="1"/>
    <xf numFmtId="0" fontId="0" fillId="13" borderId="0" xfId="0" applyFill="1" applyAlignment="1">
      <alignment horizontal="center"/>
    </xf>
    <xf numFmtId="0" fontId="55" fillId="0" borderId="0" xfId="0" applyFont="1"/>
    <xf numFmtId="0" fontId="17" fillId="0" borderId="0" xfId="0" applyFont="1"/>
    <xf numFmtId="10" fontId="2" fillId="3" borderId="26" xfId="1" applyNumberFormat="1" applyFont="1" applyFill="1" applyBorder="1"/>
    <xf numFmtId="188" fontId="2" fillId="3" borderId="26" xfId="0" applyNumberFormat="1" applyFont="1" applyFill="1" applyBorder="1"/>
    <xf numFmtId="189" fontId="2" fillId="3" borderId="26" xfId="0" applyNumberFormat="1" applyFont="1" applyFill="1" applyBorder="1"/>
    <xf numFmtId="171" fontId="2" fillId="3" borderId="26" xfId="0" applyNumberFormat="1" applyFont="1" applyFill="1" applyBorder="1"/>
    <xf numFmtId="0" fontId="0" fillId="3" borderId="26" xfId="0" applyFill="1" applyBorder="1"/>
    <xf numFmtId="0" fontId="2" fillId="14" borderId="26" xfId="0" applyFont="1" applyFill="1" applyBorder="1"/>
    <xf numFmtId="213" fontId="15" fillId="3" borderId="1" xfId="0" applyNumberFormat="1" applyFont="1" applyFill="1" applyBorder="1" applyAlignment="1">
      <alignment horizontal="left" vertical="center" wrapText="1" indent="1"/>
    </xf>
    <xf numFmtId="165" fontId="56" fillId="3" borderId="1" xfId="0" applyNumberFormat="1" applyFont="1" applyFill="1" applyBorder="1"/>
    <xf numFmtId="171" fontId="56" fillId="3" borderId="1" xfId="0" applyNumberFormat="1" applyFont="1" applyFill="1" applyBorder="1"/>
    <xf numFmtId="211" fontId="56" fillId="3" borderId="1" xfId="0" applyNumberFormat="1" applyFont="1" applyFill="1" applyBorder="1"/>
    <xf numFmtId="165" fontId="56" fillId="3" borderId="1" xfId="0" applyNumberFormat="1" applyFont="1" applyFill="1" applyBorder="1" applyAlignment="1">
      <alignment horizontal="right"/>
    </xf>
    <xf numFmtId="165" fontId="56" fillId="11" borderId="1" xfId="0" applyNumberFormat="1" applyFont="1" applyFill="1" applyBorder="1" applyAlignment="1">
      <alignment horizontal="right"/>
    </xf>
    <xf numFmtId="9" fontId="2" fillId="14" borderId="26" xfId="1" applyFont="1" applyFill="1" applyBorder="1"/>
    <xf numFmtId="9" fontId="2" fillId="14" borderId="26" xfId="1" applyFont="1" applyFill="1" applyBorder="1" applyAlignment="1">
      <alignment horizontal="left"/>
    </xf>
    <xf numFmtId="2" fontId="2" fillId="2" borderId="0" xfId="0" applyNumberFormat="1" applyFont="1" applyFill="1" applyAlignment="1">
      <alignment horizontal="left"/>
    </xf>
    <xf numFmtId="9" fontId="18" fillId="3" borderId="1" xfId="1" applyFont="1" applyFill="1" applyBorder="1"/>
    <xf numFmtId="0" fontId="2" fillId="15" borderId="1" xfId="0" applyFont="1" applyFill="1" applyBorder="1"/>
    <xf numFmtId="165" fontId="56" fillId="15" borderId="1" xfId="0" applyNumberFormat="1" applyFont="1" applyFill="1" applyBorder="1"/>
    <xf numFmtId="49" fontId="15" fillId="3" borderId="1" xfId="0" quotePrefix="1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55" fillId="16" borderId="0" xfId="0" applyFont="1" applyFill="1"/>
    <xf numFmtId="0" fontId="0" fillId="6" borderId="0" xfId="0" applyFill="1"/>
    <xf numFmtId="0" fontId="26" fillId="6" borderId="14" xfId="0" applyFont="1" applyFill="1" applyBorder="1" applyAlignment="1">
      <alignment horizontal="left"/>
    </xf>
    <xf numFmtId="215" fontId="56" fillId="3" borderId="1" xfId="0" applyNumberFormat="1" applyFont="1" applyFill="1" applyBorder="1"/>
    <xf numFmtId="0" fontId="0" fillId="0" borderId="0" xfId="0" applyAlignment="1">
      <alignment horizontal="center" vertical="center"/>
    </xf>
    <xf numFmtId="220" fontId="56" fillId="3" borderId="1" xfId="0" applyNumberFormat="1" applyFont="1" applyFill="1" applyBorder="1"/>
    <xf numFmtId="0" fontId="0" fillId="17" borderId="0" xfId="0" applyFill="1"/>
    <xf numFmtId="0" fontId="0" fillId="17" borderId="0" xfId="0" applyFill="1" applyAlignment="1">
      <alignment horizontal="left"/>
    </xf>
    <xf numFmtId="0" fontId="70" fillId="17" borderId="0" xfId="0" applyFont="1" applyFill="1"/>
    <xf numFmtId="0" fontId="70" fillId="17" borderId="0" xfId="0" applyFont="1" applyFill="1" applyAlignment="1">
      <alignment horizontal="center" vertical="center" wrapText="1"/>
    </xf>
    <xf numFmtId="0" fontId="73" fillId="17" borderId="0" xfId="0" applyFont="1" applyFill="1"/>
    <xf numFmtId="0" fontId="73" fillId="17" borderId="0" xfId="0" applyFont="1" applyFill="1" applyAlignment="1">
      <alignment horizontal="center"/>
    </xf>
    <xf numFmtId="0" fontId="0" fillId="18" borderId="0" xfId="0" applyFill="1" applyAlignment="1">
      <alignment vertical="center" shrinkToFit="1"/>
    </xf>
    <xf numFmtId="0" fontId="78" fillId="18" borderId="0" xfId="0" applyFont="1" applyFill="1" applyAlignment="1">
      <alignment horizontal="left" vertical="center" shrinkToFit="1"/>
    </xf>
    <xf numFmtId="0" fontId="79" fillId="19" borderId="0" xfId="0" applyFont="1" applyFill="1" applyAlignment="1">
      <alignment vertical="center" shrinkToFit="1"/>
    </xf>
    <xf numFmtId="0" fontId="81" fillId="19" borderId="0" xfId="0" applyFont="1" applyFill="1" applyAlignment="1">
      <alignment vertical="center" shrinkToFit="1"/>
    </xf>
    <xf numFmtId="0" fontId="82" fillId="19" borderId="0" xfId="0" applyFont="1" applyFill="1" applyAlignment="1">
      <alignment horizontal="left" vertical="center" shrinkToFit="1"/>
    </xf>
    <xf numFmtId="0" fontId="80" fillId="19" borderId="0" xfId="0" applyFont="1" applyFill="1" applyAlignment="1">
      <alignment horizontal="right" vertical="center" shrinkToFit="1"/>
    </xf>
    <xf numFmtId="0" fontId="82" fillId="19" borderId="35" xfId="0" applyFont="1" applyFill="1" applyBorder="1" applyAlignment="1">
      <alignment horizontal="left" vertical="center" shrinkToFit="1"/>
    </xf>
    <xf numFmtId="0" fontId="82" fillId="19" borderId="0" xfId="0" applyFont="1" applyFill="1" applyAlignment="1">
      <alignment horizontal="right" vertical="center" shrinkToFit="1"/>
    </xf>
    <xf numFmtId="0" fontId="82" fillId="19" borderId="34" xfId="0" applyFont="1" applyFill="1" applyBorder="1" applyAlignment="1">
      <alignment horizontal="left" vertical="center" shrinkToFit="1"/>
    </xf>
    <xf numFmtId="0" fontId="82" fillId="19" borderId="37" xfId="0" applyFont="1" applyFill="1" applyBorder="1" applyAlignment="1">
      <alignment horizontal="left" vertical="center" shrinkToFit="1"/>
    </xf>
    <xf numFmtId="0" fontId="82" fillId="19" borderId="0" xfId="0" applyFont="1" applyFill="1" applyAlignment="1">
      <alignment horizontal="center" vertical="center" shrinkToFit="1"/>
    </xf>
    <xf numFmtId="0" fontId="82" fillId="19" borderId="40" xfId="0" applyFont="1" applyFill="1" applyBorder="1" applyAlignment="1">
      <alignment horizontal="center" vertical="center" shrinkToFit="1"/>
    </xf>
    <xf numFmtId="165" fontId="80" fillId="19" borderId="40" xfId="0" applyNumberFormat="1" applyFont="1" applyFill="1" applyBorder="1" applyAlignment="1">
      <alignment horizontal="right" vertical="center" shrinkToFit="1"/>
    </xf>
    <xf numFmtId="165" fontId="80" fillId="20" borderId="40" xfId="0" applyNumberFormat="1" applyFont="1" applyFill="1" applyBorder="1" applyAlignment="1">
      <alignment horizontal="right" vertical="center" shrinkToFit="1"/>
    </xf>
    <xf numFmtId="0" fontId="82" fillId="19" borderId="40" xfId="0" applyFont="1" applyFill="1" applyBorder="1" applyAlignment="1">
      <alignment horizontal="right" vertical="center" shrinkToFit="1"/>
    </xf>
    <xf numFmtId="0" fontId="82" fillId="20" borderId="40" xfId="0" applyFont="1" applyFill="1" applyBorder="1" applyAlignment="1">
      <alignment horizontal="right" vertical="center" shrinkToFit="1"/>
    </xf>
    <xf numFmtId="0" fontId="82" fillId="19" borderId="41" xfId="0" applyFont="1" applyFill="1" applyBorder="1" applyAlignment="1">
      <alignment horizontal="left" vertical="center" shrinkToFit="1"/>
    </xf>
    <xf numFmtId="165" fontId="80" fillId="19" borderId="0" xfId="0" applyNumberFormat="1" applyFont="1" applyFill="1" applyAlignment="1">
      <alignment horizontal="right" vertical="center" shrinkToFit="1"/>
    </xf>
    <xf numFmtId="221" fontId="80" fillId="20" borderId="0" xfId="0" applyNumberFormat="1" applyFont="1" applyFill="1" applyAlignment="1">
      <alignment horizontal="center" vertical="center" shrinkToFit="1"/>
    </xf>
    <xf numFmtId="2" fontId="84" fillId="17" borderId="39" xfId="0" applyNumberFormat="1" applyFont="1" applyFill="1" applyBorder="1" applyAlignment="1">
      <alignment vertical="center" shrinkToFit="1"/>
    </xf>
    <xf numFmtId="0" fontId="82" fillId="19" borderId="44" xfId="0" applyFont="1" applyFill="1" applyBorder="1" applyAlignment="1">
      <alignment horizontal="center" vertical="center" shrinkToFit="1"/>
    </xf>
    <xf numFmtId="0" fontId="82" fillId="19" borderId="45" xfId="0" applyFont="1" applyFill="1" applyBorder="1" applyAlignment="1">
      <alignment horizontal="left" vertical="center" shrinkToFit="1"/>
    </xf>
    <xf numFmtId="0" fontId="82" fillId="19" borderId="0" xfId="0" applyFont="1" applyFill="1" applyAlignment="1">
      <alignment vertical="center" shrinkToFit="1"/>
    </xf>
    <xf numFmtId="0" fontId="82" fillId="19" borderId="45" xfId="0" applyFont="1" applyFill="1" applyBorder="1" applyAlignment="1">
      <alignment vertical="center" shrinkToFit="1"/>
    </xf>
    <xf numFmtId="223" fontId="80" fillId="19" borderId="0" xfId="1" applyNumberFormat="1" applyFont="1" applyFill="1" applyBorder="1" applyAlignment="1">
      <alignment horizontal="right" vertical="center" shrinkToFit="1"/>
    </xf>
    <xf numFmtId="223" fontId="82" fillId="19" borderId="0" xfId="1" applyNumberFormat="1" applyFont="1" applyFill="1" applyBorder="1" applyAlignment="1">
      <alignment horizontal="right" vertical="center" shrinkToFit="1"/>
    </xf>
    <xf numFmtId="2" fontId="84" fillId="17" borderId="39" xfId="0" applyNumberFormat="1" applyFont="1" applyFill="1" applyBorder="1" applyAlignment="1">
      <alignment horizontal="left" vertical="center" shrinkToFit="1"/>
    </xf>
    <xf numFmtId="0" fontId="0" fillId="18" borderId="0" xfId="0" applyFill="1"/>
    <xf numFmtId="0" fontId="0" fillId="21" borderId="0" xfId="0" applyFill="1"/>
    <xf numFmtId="165" fontId="80" fillId="18" borderId="0" xfId="0" applyNumberFormat="1" applyFont="1" applyFill="1" applyAlignment="1" applyProtection="1">
      <alignment horizontal="right" vertical="center" shrinkToFit="1"/>
      <protection locked="0"/>
    </xf>
    <xf numFmtId="0" fontId="80" fillId="18" borderId="0" xfId="0" applyFont="1" applyFill="1" applyAlignment="1" applyProtection="1">
      <alignment horizontal="center" vertical="center" shrinkToFit="1"/>
      <protection locked="0"/>
    </xf>
    <xf numFmtId="165" fontId="80" fillId="18" borderId="0" xfId="0" applyNumberFormat="1" applyFont="1" applyFill="1" applyAlignment="1" applyProtection="1">
      <alignment vertical="center" shrinkToFit="1"/>
      <protection locked="0"/>
    </xf>
    <xf numFmtId="9" fontId="80" fillId="18" borderId="0" xfId="1" applyFont="1" applyFill="1" applyBorder="1" applyAlignment="1" applyProtection="1">
      <alignment horizontal="right" vertical="center" shrinkToFit="1"/>
      <protection locked="0"/>
    </xf>
    <xf numFmtId="169" fontId="80" fillId="18" borderId="0" xfId="0" applyNumberFormat="1" applyFont="1" applyFill="1" applyAlignment="1" applyProtection="1">
      <alignment horizontal="right" vertical="center" shrinkToFit="1"/>
      <protection locked="0"/>
    </xf>
    <xf numFmtId="165" fontId="85" fillId="17" borderId="0" xfId="0" applyNumberFormat="1" applyFont="1" applyFill="1" applyAlignment="1">
      <alignment horizontal="right" vertical="center" shrinkToFit="1"/>
    </xf>
    <xf numFmtId="202" fontId="85" fillId="17" borderId="0" xfId="0" applyNumberFormat="1" applyFont="1" applyFill="1" applyAlignment="1">
      <alignment horizontal="right" vertical="center" shrinkToFit="1"/>
    </xf>
    <xf numFmtId="9" fontId="85" fillId="17" borderId="0" xfId="1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222" fontId="80" fillId="19" borderId="0" xfId="0" applyNumberFormat="1" applyFont="1" applyFill="1" applyAlignment="1">
      <alignment vertical="center" shrinkToFit="1"/>
    </xf>
    <xf numFmtId="173" fontId="84" fillId="17" borderId="39" xfId="0" applyNumberFormat="1" applyFont="1" applyFill="1" applyBorder="1" applyAlignment="1">
      <alignment horizontal="right" vertical="center" shrinkToFit="1"/>
    </xf>
    <xf numFmtId="0" fontId="88" fillId="17" borderId="39" xfId="0" applyFont="1" applyFill="1" applyBorder="1" applyAlignment="1">
      <alignment vertical="center" shrinkToFit="1"/>
    </xf>
    <xf numFmtId="213" fontId="80" fillId="18" borderId="0" xfId="0" applyNumberFormat="1" applyFont="1" applyFill="1" applyAlignment="1" applyProtection="1">
      <alignment horizontal="center" vertical="center" shrinkToFit="1"/>
      <protection locked="0"/>
    </xf>
    <xf numFmtId="0" fontId="2" fillId="22" borderId="26" xfId="0" applyFont="1" applyFill="1" applyBorder="1"/>
    <xf numFmtId="0" fontId="0" fillId="22" borderId="26" xfId="0" applyFill="1" applyBorder="1"/>
    <xf numFmtId="9" fontId="2" fillId="22" borderId="26" xfId="1" applyFont="1" applyFill="1" applyBorder="1"/>
    <xf numFmtId="9" fontId="2" fillId="22" borderId="26" xfId="0" applyNumberFormat="1" applyFont="1" applyFill="1" applyBorder="1"/>
    <xf numFmtId="4" fontId="2" fillId="22" borderId="26" xfId="0" applyNumberFormat="1" applyFont="1" applyFill="1" applyBorder="1"/>
    <xf numFmtId="9" fontId="2" fillId="22" borderId="26" xfId="1" applyFont="1" applyFill="1" applyBorder="1" applyAlignment="1">
      <alignment horizontal="left"/>
    </xf>
    <xf numFmtId="0" fontId="0" fillId="22" borderId="0" xfId="0" applyFill="1"/>
    <xf numFmtId="0" fontId="0" fillId="24" borderId="0" xfId="0" applyFill="1"/>
    <xf numFmtId="0" fontId="89" fillId="0" borderId="0" xfId="0" applyFont="1" applyAlignment="1">
      <alignment horizontal="center" vertical="center"/>
    </xf>
    <xf numFmtId="0" fontId="89" fillId="0" borderId="0" xfId="0" applyFont="1"/>
    <xf numFmtId="0" fontId="67" fillId="0" borderId="0" xfId="0" applyFont="1" applyAlignment="1">
      <alignment vertical="center" shrinkToFit="1"/>
    </xf>
    <xf numFmtId="0" fontId="67" fillId="0" borderId="0" xfId="0" applyFont="1" applyAlignment="1">
      <alignment vertical="center"/>
    </xf>
    <xf numFmtId="0" fontId="67" fillId="0" borderId="0" xfId="0" applyFont="1" applyAlignment="1">
      <alignment vertical="top"/>
    </xf>
    <xf numFmtId="0" fontId="0" fillId="0" borderId="0" xfId="0" applyAlignment="1">
      <alignment vertical="top"/>
    </xf>
    <xf numFmtId="0" fontId="77" fillId="0" borderId="0" xfId="0" applyFont="1"/>
    <xf numFmtId="0" fontId="75" fillId="0" borderId="0" xfId="2" applyFont="1" applyFill="1" applyBorder="1" applyProtection="1"/>
    <xf numFmtId="0" fontId="76" fillId="0" borderId="0" xfId="2" applyFont="1" applyFill="1" applyBorder="1" applyAlignment="1" applyProtection="1">
      <alignment horizontal="right"/>
    </xf>
    <xf numFmtId="0" fontId="67" fillId="0" borderId="0" xfId="0" applyFont="1"/>
    <xf numFmtId="0" fontId="55" fillId="0" borderId="0" xfId="0" applyFont="1" applyAlignment="1">
      <alignment vertical="center" shrinkToFit="1"/>
    </xf>
    <xf numFmtId="0" fontId="64" fillId="0" borderId="9" xfId="0" applyFont="1" applyBorder="1" applyAlignment="1">
      <alignment vertical="center" shrinkToFit="1"/>
    </xf>
    <xf numFmtId="219" fontId="61" fillId="0" borderId="13" xfId="0" applyNumberFormat="1" applyFont="1" applyBorder="1" applyAlignment="1">
      <alignment horizontal="right" vertical="center" shrinkToFit="1"/>
    </xf>
    <xf numFmtId="0" fontId="60" fillId="0" borderId="13" xfId="0" applyFont="1" applyBorder="1" applyAlignment="1">
      <alignment horizontal="right" vertical="center" shrinkToFit="1"/>
    </xf>
    <xf numFmtId="0" fontId="61" fillId="0" borderId="13" xfId="0" applyFont="1" applyBorder="1" applyAlignment="1">
      <alignment horizontal="right" vertical="center" shrinkToFit="1"/>
    </xf>
    <xf numFmtId="2" fontId="17" fillId="0" borderId="0" xfId="0" applyNumberFormat="1" applyFont="1"/>
    <xf numFmtId="0" fontId="64" fillId="0" borderId="0" xfId="0" applyFont="1"/>
    <xf numFmtId="0" fontId="65" fillId="0" borderId="0" xfId="0" applyFont="1"/>
    <xf numFmtId="165" fontId="17" fillId="0" borderId="0" xfId="0" applyNumberFormat="1" applyFont="1"/>
    <xf numFmtId="9" fontId="17" fillId="0" borderId="0" xfId="1" applyFont="1" applyFill="1" applyBorder="1" applyProtection="1"/>
    <xf numFmtId="0" fontId="60" fillId="0" borderId="0" xfId="0" applyFont="1"/>
    <xf numFmtId="2" fontId="61" fillId="0" borderId="0" xfId="0" applyNumberFormat="1" applyFont="1" applyAlignment="1">
      <alignment horizontal="right" indent="2"/>
    </xf>
    <xf numFmtId="0" fontId="64" fillId="0" borderId="0" xfId="0" applyFont="1" applyAlignment="1">
      <alignment horizontal="left" indent="1"/>
    </xf>
    <xf numFmtId="0" fontId="61" fillId="0" borderId="0" xfId="0" applyFont="1" applyAlignment="1">
      <alignment horizontal="right" indent="2"/>
    </xf>
    <xf numFmtId="0" fontId="64" fillId="0" borderId="0" xfId="0" applyFont="1" applyAlignment="1">
      <alignment vertical="center"/>
    </xf>
    <xf numFmtId="0" fontId="64" fillId="0" borderId="0" xfId="0" applyFont="1" applyAlignment="1">
      <alignment horizontal="center" vertical="center" wrapText="1"/>
    </xf>
    <xf numFmtId="9" fontId="64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172" fontId="17" fillId="0" borderId="0" xfId="0" applyNumberFormat="1" applyFont="1" applyAlignment="1">
      <alignment horizontal="right"/>
    </xf>
    <xf numFmtId="0" fontId="64" fillId="0" borderId="0" xfId="0" applyFont="1" applyAlignment="1">
      <alignment horizontal="left"/>
    </xf>
    <xf numFmtId="0" fontId="17" fillId="0" borderId="0" xfId="0" applyFont="1" applyAlignment="1">
      <alignment horizontal="right" indent="2"/>
    </xf>
    <xf numFmtId="202" fontId="17" fillId="0" borderId="0" xfId="0" applyNumberFormat="1" applyFont="1" applyAlignment="1">
      <alignment horizontal="right" indent="2"/>
    </xf>
    <xf numFmtId="178" fontId="25" fillId="0" borderId="0" xfId="0" applyNumberFormat="1" applyFont="1" applyAlignment="1">
      <alignment horizontal="center"/>
    </xf>
    <xf numFmtId="219" fontId="55" fillId="0" borderId="0" xfId="0" applyNumberFormat="1" applyFont="1" applyAlignment="1">
      <alignment horizontal="right" vertical="center" shrinkToFit="1"/>
    </xf>
    <xf numFmtId="0" fontId="55" fillId="0" borderId="0" xfId="0" applyFont="1" applyAlignment="1">
      <alignment horizontal="right" vertical="center" shrinkToFit="1"/>
    </xf>
    <xf numFmtId="1" fontId="0" fillId="0" borderId="0" xfId="0" applyNumberFormat="1" applyAlignment="1">
      <alignment horizontal="center"/>
    </xf>
    <xf numFmtId="0" fontId="55" fillId="21" borderId="0" xfId="0" applyFont="1" applyFill="1"/>
    <xf numFmtId="0" fontId="59" fillId="21" borderId="0" xfId="0" applyFont="1" applyFill="1" applyAlignment="1">
      <alignment horizontal="left" vertical="center"/>
    </xf>
    <xf numFmtId="0" fontId="65" fillId="21" borderId="0" xfId="0" applyFont="1" applyFill="1"/>
    <xf numFmtId="0" fontId="57" fillId="21" borderId="0" xfId="0" applyFont="1" applyFill="1"/>
    <xf numFmtId="0" fontId="69" fillId="21" borderId="0" xfId="0" applyFont="1" applyFill="1"/>
    <xf numFmtId="0" fontId="92" fillId="21" borderId="0" xfId="0" applyFont="1" applyFill="1"/>
    <xf numFmtId="0" fontId="95" fillId="21" borderId="0" xfId="0" applyFont="1" applyFill="1"/>
    <xf numFmtId="0" fontId="92" fillId="21" borderId="0" xfId="0" applyFont="1" applyFill="1" applyAlignment="1">
      <alignment shrinkToFit="1"/>
    </xf>
    <xf numFmtId="0" fontId="90" fillId="22" borderId="0" xfId="0" applyFont="1" applyFill="1" applyAlignment="1">
      <alignment horizontal="center" vertical="center"/>
    </xf>
    <xf numFmtId="0" fontId="90" fillId="22" borderId="39" xfId="0" applyFont="1" applyFill="1" applyBorder="1" applyAlignment="1">
      <alignment horizontal="center" vertical="center"/>
    </xf>
    <xf numFmtId="198" fontId="90" fillId="22" borderId="0" xfId="0" applyNumberFormat="1" applyFont="1" applyFill="1" applyAlignment="1">
      <alignment horizontal="right" vertical="top"/>
    </xf>
    <xf numFmtId="176" fontId="90" fillId="22" borderId="0" xfId="0" applyNumberFormat="1" applyFont="1" applyFill="1" applyAlignment="1">
      <alignment horizontal="right" vertical="top"/>
    </xf>
    <xf numFmtId="0" fontId="100" fillId="21" borderId="0" xfId="0" applyFont="1" applyFill="1"/>
    <xf numFmtId="174" fontId="90" fillId="22" borderId="0" xfId="0" applyNumberFormat="1" applyFont="1" applyFill="1" applyAlignment="1">
      <alignment vertical="top"/>
    </xf>
    <xf numFmtId="0" fontId="94" fillId="22" borderId="0" xfId="0" applyFont="1" applyFill="1" applyAlignment="1">
      <alignment horizontal="center" vertical="center" wrapText="1"/>
    </xf>
    <xf numFmtId="0" fontId="94" fillId="22" borderId="0" xfId="0" applyFont="1" applyFill="1" applyAlignment="1">
      <alignment horizontal="center" vertical="center"/>
    </xf>
    <xf numFmtId="0" fontId="90" fillId="22" borderId="0" xfId="0" applyFont="1" applyFill="1" applyAlignment="1">
      <alignment horizontal="right" vertical="center"/>
    </xf>
    <xf numFmtId="0" fontId="92" fillId="22" borderId="0" xfId="0" applyFont="1" applyFill="1"/>
    <xf numFmtId="0" fontId="90" fillId="22" borderId="39" xfId="0" applyFont="1" applyFill="1" applyBorder="1" applyAlignment="1">
      <alignment horizontal="center" vertical="center" wrapText="1"/>
    </xf>
    <xf numFmtId="0" fontId="93" fillId="22" borderId="39" xfId="0" applyFont="1" applyFill="1" applyBorder="1" applyAlignment="1">
      <alignment horizontal="center" vertical="center"/>
    </xf>
    <xf numFmtId="0" fontId="90" fillId="22" borderId="43" xfId="0" applyFont="1" applyFill="1" applyBorder="1" applyAlignment="1">
      <alignment horizontal="center" vertical="center"/>
    </xf>
    <xf numFmtId="175" fontId="90" fillId="22" borderId="39" xfId="0" applyNumberFormat="1" applyFont="1" applyFill="1" applyBorder="1" applyAlignment="1">
      <alignment horizontal="left" vertical="center"/>
    </xf>
    <xf numFmtId="0" fontId="92" fillId="13" borderId="0" xfId="0" applyFont="1" applyFill="1"/>
    <xf numFmtId="0" fontId="90" fillId="21" borderId="0" xfId="0" applyFont="1" applyFill="1"/>
    <xf numFmtId="0" fontId="92" fillId="0" borderId="0" xfId="0" applyFont="1"/>
    <xf numFmtId="0" fontId="90" fillId="21" borderId="0" xfId="0" applyFont="1" applyFill="1" applyAlignment="1">
      <alignment horizontal="center" shrinkToFit="1"/>
    </xf>
    <xf numFmtId="0" fontId="92" fillId="21" borderId="0" xfId="0" applyFont="1" applyFill="1" applyAlignment="1">
      <alignment vertical="center" shrinkToFit="1"/>
    </xf>
    <xf numFmtId="0" fontId="102" fillId="21" borderId="0" xfId="0" applyFont="1" applyFill="1" applyAlignment="1">
      <alignment shrinkToFit="1"/>
    </xf>
    <xf numFmtId="170" fontId="92" fillId="21" borderId="0" xfId="0" applyNumberFormat="1" applyFont="1" applyFill="1" applyAlignment="1">
      <alignment shrinkToFit="1"/>
    </xf>
    <xf numFmtId="0" fontId="90" fillId="21" borderId="0" xfId="0" applyFont="1" applyFill="1" applyAlignment="1">
      <alignment shrinkToFit="1"/>
    </xf>
    <xf numFmtId="179" fontId="103" fillId="21" borderId="0" xfId="1" applyNumberFormat="1" applyFont="1" applyFill="1" applyBorder="1" applyAlignment="1">
      <alignment shrinkToFit="1"/>
    </xf>
    <xf numFmtId="0" fontId="92" fillId="0" borderId="0" xfId="0" applyFont="1" applyAlignment="1">
      <alignment shrinkToFit="1"/>
    </xf>
    <xf numFmtId="0" fontId="90" fillId="0" borderId="0" xfId="0" applyFont="1" applyAlignment="1">
      <alignment shrinkToFit="1"/>
    </xf>
    <xf numFmtId="0" fontId="101" fillId="21" borderId="0" xfId="0" applyFont="1" applyFill="1" applyAlignment="1">
      <alignment horizontal="left" vertical="center" shrinkToFit="1"/>
    </xf>
    <xf numFmtId="0" fontId="104" fillId="0" borderId="0" xfId="0" applyFont="1" applyAlignment="1">
      <alignment shrinkToFit="1"/>
    </xf>
    <xf numFmtId="0" fontId="92" fillId="21" borderId="51" xfId="0" applyFont="1" applyFill="1" applyBorder="1" applyAlignment="1">
      <alignment shrinkToFit="1"/>
    </xf>
    <xf numFmtId="0" fontId="102" fillId="21" borderId="51" xfId="0" applyFont="1" applyFill="1" applyBorder="1" applyAlignment="1">
      <alignment shrinkToFit="1"/>
    </xf>
    <xf numFmtId="0" fontId="105" fillId="21" borderId="0" xfId="0" applyFont="1" applyFill="1"/>
    <xf numFmtId="0" fontId="0" fillId="21" borderId="0" xfId="0" applyFill="1" applyAlignment="1">
      <alignment shrinkToFit="1"/>
    </xf>
    <xf numFmtId="0" fontId="92" fillId="21" borderId="0" xfId="0" applyFont="1" applyFill="1" applyAlignment="1">
      <alignment horizontal="right" shrinkToFit="1"/>
    </xf>
    <xf numFmtId="0" fontId="92" fillId="21" borderId="0" xfId="0" applyFont="1" applyFill="1" applyAlignment="1">
      <alignment horizontal="left" shrinkToFit="1"/>
    </xf>
    <xf numFmtId="0" fontId="2" fillId="21" borderId="0" xfId="0" applyFont="1" applyFill="1" applyAlignment="1">
      <alignment shrinkToFit="1"/>
    </xf>
    <xf numFmtId="0" fontId="2" fillId="21" borderId="0" xfId="0" applyFont="1" applyFill="1" applyAlignment="1">
      <alignment horizontal="center" shrinkToFit="1"/>
    </xf>
    <xf numFmtId="171" fontId="90" fillId="21" borderId="0" xfId="0" applyNumberFormat="1" applyFont="1" applyFill="1" applyAlignment="1">
      <alignment horizontal="center" shrinkToFit="1"/>
    </xf>
    <xf numFmtId="181" fontId="90" fillId="21" borderId="0" xfId="0" applyNumberFormat="1" applyFont="1" applyFill="1" applyAlignment="1">
      <alignment horizontal="right" shrinkToFit="1"/>
    </xf>
    <xf numFmtId="0" fontId="90" fillId="21" borderId="0" xfId="0" applyFont="1" applyFill="1" applyAlignment="1">
      <alignment horizontal="center" vertical="center" shrinkToFit="1"/>
    </xf>
    <xf numFmtId="0" fontId="90" fillId="21" borderId="0" xfId="0" applyFont="1" applyFill="1" applyAlignment="1">
      <alignment horizontal="left" shrinkToFit="1"/>
    </xf>
    <xf numFmtId="181" fontId="90" fillId="21" borderId="0" xfId="0" applyNumberFormat="1" applyFont="1" applyFill="1" applyAlignment="1">
      <alignment horizontal="center" vertical="center" shrinkToFit="1"/>
    </xf>
    <xf numFmtId="0" fontId="90" fillId="21" borderId="0" xfId="0" applyFont="1" applyFill="1" applyAlignment="1">
      <alignment horizontal="right" vertical="center" shrinkToFit="1"/>
    </xf>
    <xf numFmtId="181" fontId="90" fillId="21" borderId="0" xfId="0" applyNumberFormat="1" applyFont="1" applyFill="1" applyAlignment="1">
      <alignment horizontal="left" vertical="center" shrinkToFit="1"/>
    </xf>
    <xf numFmtId="181" fontId="80" fillId="21" borderId="0" xfId="0" applyNumberFormat="1" applyFont="1" applyFill="1" applyAlignment="1">
      <alignment horizontal="right" shrinkToFit="1"/>
    </xf>
    <xf numFmtId="170" fontId="90" fillId="21" borderId="0" xfId="0" applyNumberFormat="1" applyFont="1" applyFill="1" applyAlignment="1">
      <alignment horizontal="right" shrinkToFit="1"/>
    </xf>
    <xf numFmtId="0" fontId="80" fillId="21" borderId="0" xfId="0" applyFont="1" applyFill="1" applyAlignment="1">
      <alignment vertical="center" shrinkToFit="1"/>
    </xf>
    <xf numFmtId="0" fontId="90" fillId="21" borderId="0" xfId="0" applyFont="1" applyFill="1" applyAlignment="1">
      <alignment horizontal="left" vertical="center" shrinkToFit="1"/>
    </xf>
    <xf numFmtId="0" fontId="94" fillId="21" borderId="0" xfId="0" applyFont="1" applyFill="1" applyAlignment="1">
      <alignment horizontal="center" vertical="top" shrinkToFit="1"/>
    </xf>
    <xf numFmtId="171" fontId="80" fillId="21" borderId="0" xfId="0" applyNumberFormat="1" applyFont="1" applyFill="1" applyAlignment="1">
      <alignment horizontal="center" vertical="top" shrinkToFit="1"/>
    </xf>
    <xf numFmtId="183" fontId="90" fillId="21" borderId="0" xfId="0" applyNumberFormat="1" applyFont="1" applyFill="1" applyAlignment="1">
      <alignment horizontal="right" shrinkToFit="1"/>
    </xf>
    <xf numFmtId="182" fontId="90" fillId="21" borderId="0" xfId="0" applyNumberFormat="1" applyFont="1" applyFill="1" applyAlignment="1">
      <alignment horizontal="right" shrinkToFit="1"/>
    </xf>
    <xf numFmtId="184" fontId="90" fillId="21" borderId="0" xfId="0" applyNumberFormat="1" applyFont="1" applyFill="1" applyAlignment="1">
      <alignment horizontal="right" shrinkToFit="1"/>
    </xf>
    <xf numFmtId="0" fontId="90" fillId="22" borderId="0" xfId="0" applyFont="1" applyFill="1" applyAlignment="1">
      <alignment horizontal="center" shrinkToFit="1"/>
    </xf>
    <xf numFmtId="170" fontId="90" fillId="22" borderId="0" xfId="0" applyNumberFormat="1" applyFont="1" applyFill="1" applyAlignment="1">
      <alignment horizontal="right" vertical="center" shrinkToFit="1"/>
    </xf>
    <xf numFmtId="180" fontId="90" fillId="22" borderId="0" xfId="0" applyNumberFormat="1" applyFont="1" applyFill="1" applyAlignment="1">
      <alignment horizontal="right" vertical="center" shrinkToFit="1"/>
    </xf>
    <xf numFmtId="201" fontId="90" fillId="22" borderId="0" xfId="0" applyNumberFormat="1" applyFont="1" applyFill="1" applyAlignment="1">
      <alignment horizontal="center" shrinkToFit="1"/>
    </xf>
    <xf numFmtId="171" fontId="90" fillId="22" borderId="0" xfId="0" applyNumberFormat="1" applyFont="1" applyFill="1" applyAlignment="1">
      <alignment horizontal="center" shrinkToFit="1"/>
    </xf>
    <xf numFmtId="0" fontId="90" fillId="22" borderId="43" xfId="0" applyFont="1" applyFill="1" applyBorder="1" applyAlignment="1">
      <alignment horizontal="center" shrinkToFit="1"/>
    </xf>
    <xf numFmtId="0" fontId="90" fillId="22" borderId="0" xfId="0" applyFont="1" applyFill="1" applyAlignment="1">
      <alignment horizontal="center" vertical="top" shrinkToFit="1"/>
    </xf>
    <xf numFmtId="207" fontId="90" fillId="22" borderId="0" xfId="0" applyNumberFormat="1" applyFont="1" applyFill="1" applyAlignment="1">
      <alignment horizontal="center" shrinkToFit="1"/>
    </xf>
    <xf numFmtId="170" fontId="80" fillId="22" borderId="0" xfId="0" applyNumberFormat="1" applyFont="1" applyFill="1" applyAlignment="1">
      <alignment horizontal="right" shrinkToFit="1"/>
    </xf>
    <xf numFmtId="207" fontId="90" fillId="22" borderId="0" xfId="0" applyNumberFormat="1" applyFont="1" applyFill="1" applyAlignment="1">
      <alignment shrinkToFit="1"/>
    </xf>
    <xf numFmtId="207" fontId="90" fillId="22" borderId="0" xfId="0" applyNumberFormat="1" applyFont="1" applyFill="1" applyAlignment="1">
      <alignment horizontal="right" shrinkToFit="1"/>
    </xf>
    <xf numFmtId="171" fontId="80" fillId="22" borderId="0" xfId="0" applyNumberFormat="1" applyFont="1" applyFill="1" applyAlignment="1">
      <alignment horizontal="center" shrinkToFit="1"/>
    </xf>
    <xf numFmtId="181" fontId="80" fillId="22" borderId="0" xfId="0" applyNumberFormat="1" applyFont="1" applyFill="1" applyAlignment="1">
      <alignment horizontal="right" shrinkToFit="1"/>
    </xf>
    <xf numFmtId="0" fontId="90" fillId="22" borderId="0" xfId="0" applyFont="1" applyFill="1" applyAlignment="1">
      <alignment shrinkToFit="1"/>
    </xf>
    <xf numFmtId="181" fontId="90" fillId="22" borderId="0" xfId="0" applyNumberFormat="1" applyFont="1" applyFill="1" applyAlignment="1">
      <alignment horizontal="center" vertical="center" shrinkToFit="1"/>
    </xf>
    <xf numFmtId="181" fontId="80" fillId="22" borderId="0" xfId="0" applyNumberFormat="1" applyFont="1" applyFill="1" applyAlignment="1">
      <alignment horizontal="right" vertical="center" shrinkToFit="1"/>
    </xf>
    <xf numFmtId="181" fontId="90" fillId="22" borderId="0" xfId="0" applyNumberFormat="1" applyFont="1" applyFill="1" applyAlignment="1">
      <alignment vertical="center" shrinkToFit="1"/>
    </xf>
    <xf numFmtId="181" fontId="90" fillId="22" borderId="0" xfId="0" applyNumberFormat="1" applyFont="1" applyFill="1" applyAlignment="1">
      <alignment horizontal="right" vertical="center" shrinkToFit="1"/>
    </xf>
    <xf numFmtId="170" fontId="90" fillId="22" borderId="0" xfId="0" applyNumberFormat="1" applyFont="1" applyFill="1" applyAlignment="1">
      <alignment horizontal="center" shrinkToFit="1"/>
    </xf>
    <xf numFmtId="209" fontId="80" fillId="22" borderId="0" xfId="0" applyNumberFormat="1" applyFont="1" applyFill="1" applyAlignment="1">
      <alignment horizontal="right" vertical="top" shrinkToFit="1"/>
    </xf>
    <xf numFmtId="180" fontId="80" fillId="22" borderId="0" xfId="0" applyNumberFormat="1" applyFont="1" applyFill="1" applyAlignment="1">
      <alignment horizontal="right" shrinkToFit="1"/>
    </xf>
    <xf numFmtId="183" fontId="90" fillId="22" borderId="0" xfId="0" applyNumberFormat="1" applyFont="1" applyFill="1" applyAlignment="1">
      <alignment horizontal="right" shrinkToFit="1"/>
    </xf>
    <xf numFmtId="182" fontId="90" fillId="22" borderId="0" xfId="0" applyNumberFormat="1" applyFont="1" applyFill="1" applyAlignment="1">
      <alignment horizontal="right" shrinkToFit="1"/>
    </xf>
    <xf numFmtId="0" fontId="90" fillId="22" borderId="47" xfId="0" applyFont="1" applyFill="1" applyBorder="1" applyAlignment="1">
      <alignment horizontal="center" shrinkToFit="1"/>
    </xf>
    <xf numFmtId="0" fontId="90" fillId="22" borderId="39" xfId="0" applyFont="1" applyFill="1" applyBorder="1" applyAlignment="1">
      <alignment horizontal="center" shrinkToFit="1"/>
    </xf>
    <xf numFmtId="170" fontId="80" fillId="22" borderId="51" xfId="0" applyNumberFormat="1" applyFont="1" applyFill="1" applyBorder="1" applyAlignment="1">
      <alignment horizontal="right" shrinkToFit="1"/>
    </xf>
    <xf numFmtId="207" fontId="90" fillId="22" borderId="51" xfId="0" applyNumberFormat="1" applyFont="1" applyFill="1" applyBorder="1" applyAlignment="1">
      <alignment shrinkToFit="1"/>
    </xf>
    <xf numFmtId="0" fontId="90" fillId="22" borderId="51" xfId="0" applyFont="1" applyFill="1" applyBorder="1" applyAlignment="1">
      <alignment horizontal="center" shrinkToFit="1"/>
    </xf>
    <xf numFmtId="207" fontId="90" fillId="22" borderId="0" xfId="0" applyNumberFormat="1" applyFont="1" applyFill="1" applyAlignment="1">
      <alignment horizontal="center" vertical="center" shrinkToFit="1"/>
    </xf>
    <xf numFmtId="181" fontId="80" fillId="22" borderId="50" xfId="0" applyNumberFormat="1" applyFont="1" applyFill="1" applyBorder="1" applyAlignment="1">
      <alignment horizontal="right" vertical="center" shrinkToFit="1"/>
    </xf>
    <xf numFmtId="207" fontId="90" fillId="22" borderId="56" xfId="0" applyNumberFormat="1" applyFont="1" applyFill="1" applyBorder="1" applyAlignment="1">
      <alignment horizontal="center" shrinkToFit="1"/>
    </xf>
    <xf numFmtId="170" fontId="80" fillId="22" borderId="43" xfId="0" applyNumberFormat="1" applyFont="1" applyFill="1" applyBorder="1" applyAlignment="1">
      <alignment horizontal="right" shrinkToFit="1"/>
    </xf>
    <xf numFmtId="171" fontId="80" fillId="22" borderId="51" xfId="0" applyNumberFormat="1" applyFont="1" applyFill="1" applyBorder="1" applyAlignment="1">
      <alignment horizontal="center" shrinkToFit="1"/>
    </xf>
    <xf numFmtId="0" fontId="94" fillId="22" borderId="49" xfId="0" applyFont="1" applyFill="1" applyBorder="1" applyAlignment="1">
      <alignment horizontal="center" shrinkToFit="1"/>
    </xf>
    <xf numFmtId="0" fontId="94" fillId="22" borderId="47" xfId="0" applyFont="1" applyFill="1" applyBorder="1" applyAlignment="1">
      <alignment horizontal="center" shrinkToFit="1"/>
    </xf>
    <xf numFmtId="0" fontId="94" fillId="22" borderId="39" xfId="0" applyFont="1" applyFill="1" applyBorder="1" applyAlignment="1">
      <alignment horizontal="center" shrinkToFit="1"/>
    </xf>
    <xf numFmtId="0" fontId="90" fillId="22" borderId="51" xfId="0" applyFont="1" applyFill="1" applyBorder="1" applyAlignment="1">
      <alignment horizontal="center" vertical="center" shrinkToFit="1"/>
    </xf>
    <xf numFmtId="171" fontId="80" fillId="22" borderId="43" xfId="0" applyNumberFormat="1" applyFont="1" applyFill="1" applyBorder="1" applyAlignment="1">
      <alignment horizontal="center" shrinkToFit="1"/>
    </xf>
    <xf numFmtId="171" fontId="80" fillId="22" borderId="53" xfId="0" applyNumberFormat="1" applyFont="1" applyFill="1" applyBorder="1" applyAlignment="1">
      <alignment horizontal="center" shrinkToFit="1"/>
    </xf>
    <xf numFmtId="165" fontId="80" fillId="22" borderId="57" xfId="0" applyNumberFormat="1" applyFont="1" applyFill="1" applyBorder="1" applyAlignment="1">
      <alignment horizontal="right" shrinkToFit="1"/>
    </xf>
    <xf numFmtId="0" fontId="90" fillId="22" borderId="32" xfId="0" applyFont="1" applyFill="1" applyBorder="1" applyAlignment="1">
      <alignment horizontal="center" shrinkToFit="1"/>
    </xf>
    <xf numFmtId="181" fontId="80" fillId="22" borderId="50" xfId="0" applyNumberFormat="1" applyFont="1" applyFill="1" applyBorder="1" applyAlignment="1">
      <alignment horizontal="right" shrinkToFit="1"/>
    </xf>
    <xf numFmtId="181" fontId="80" fillId="22" borderId="51" xfId="0" applyNumberFormat="1" applyFont="1" applyFill="1" applyBorder="1" applyAlignment="1">
      <alignment horizontal="right" shrinkToFit="1"/>
    </xf>
    <xf numFmtId="0" fontId="90" fillId="21" borderId="51" xfId="0" applyFont="1" applyFill="1" applyBorder="1" applyAlignment="1">
      <alignment shrinkToFit="1"/>
    </xf>
    <xf numFmtId="0" fontId="90" fillId="22" borderId="51" xfId="0" applyFont="1" applyFill="1" applyBorder="1" applyAlignment="1">
      <alignment shrinkToFit="1"/>
    </xf>
    <xf numFmtId="181" fontId="90" fillId="22" borderId="0" xfId="0" applyNumberFormat="1" applyFont="1" applyFill="1" applyAlignment="1">
      <alignment horizontal="right" shrinkToFit="1"/>
    </xf>
    <xf numFmtId="0" fontId="90" fillId="22" borderId="56" xfId="0" applyFont="1" applyFill="1" applyBorder="1" applyAlignment="1">
      <alignment horizontal="center" shrinkToFit="1"/>
    </xf>
    <xf numFmtId="181" fontId="80" fillId="22" borderId="43" xfId="0" applyNumberFormat="1" applyFont="1" applyFill="1" applyBorder="1" applyAlignment="1">
      <alignment horizontal="right" shrinkToFit="1"/>
    </xf>
    <xf numFmtId="0" fontId="90" fillId="22" borderId="57" xfId="0" applyFont="1" applyFill="1" applyBorder="1" applyAlignment="1">
      <alignment horizontal="center" shrinkToFit="1"/>
    </xf>
    <xf numFmtId="181" fontId="80" fillId="22" borderId="53" xfId="0" applyNumberFormat="1" applyFont="1" applyFill="1" applyBorder="1" applyAlignment="1">
      <alignment horizontal="right" shrinkToFit="1"/>
    </xf>
    <xf numFmtId="0" fontId="90" fillId="22" borderId="53" xfId="0" applyFont="1" applyFill="1" applyBorder="1" applyAlignment="1">
      <alignment horizontal="center" vertical="center" shrinkToFit="1"/>
    </xf>
    <xf numFmtId="0" fontId="94" fillId="22" borderId="43" xfId="0" applyFont="1" applyFill="1" applyBorder="1" applyAlignment="1">
      <alignment horizontal="center" shrinkToFit="1"/>
    </xf>
    <xf numFmtId="0" fontId="94" fillId="22" borderId="53" xfId="0" applyFont="1" applyFill="1" applyBorder="1" applyAlignment="1">
      <alignment horizontal="center" shrinkToFit="1"/>
    </xf>
    <xf numFmtId="0" fontId="90" fillId="22" borderId="55" xfId="0" applyFont="1" applyFill="1" applyBorder="1" applyAlignment="1">
      <alignment horizontal="center" shrinkToFit="1"/>
    </xf>
    <xf numFmtId="181" fontId="80" fillId="22" borderId="51" xfId="0" applyNumberFormat="1" applyFont="1" applyFill="1" applyBorder="1" applyAlignment="1">
      <alignment horizontal="right" vertical="center" shrinkToFit="1"/>
    </xf>
    <xf numFmtId="181" fontId="90" fillId="22" borderId="51" xfId="0" applyNumberFormat="1" applyFont="1" applyFill="1" applyBorder="1" applyAlignment="1">
      <alignment vertical="center" shrinkToFit="1"/>
    </xf>
    <xf numFmtId="181" fontId="90" fillId="22" borderId="56" xfId="0" applyNumberFormat="1" applyFont="1" applyFill="1" applyBorder="1" applyAlignment="1">
      <alignment horizontal="center" vertical="center" shrinkToFit="1"/>
    </xf>
    <xf numFmtId="181" fontId="80" fillId="22" borderId="43" xfId="0" applyNumberFormat="1" applyFont="1" applyFill="1" applyBorder="1" applyAlignment="1">
      <alignment horizontal="right" vertical="center" shrinkToFit="1"/>
    </xf>
    <xf numFmtId="181" fontId="90" fillId="22" borderId="0" xfId="0" applyNumberFormat="1" applyFont="1" applyFill="1" applyAlignment="1">
      <alignment horizontal="center" vertical="top" shrinkToFit="1"/>
    </xf>
    <xf numFmtId="181" fontId="80" fillId="22" borderId="0" xfId="0" applyNumberFormat="1" applyFont="1" applyFill="1" applyAlignment="1">
      <alignment horizontal="right" vertical="top" shrinkToFit="1"/>
    </xf>
    <xf numFmtId="181" fontId="80" fillId="22" borderId="50" xfId="0" applyNumberFormat="1" applyFont="1" applyFill="1" applyBorder="1" applyAlignment="1">
      <alignment horizontal="right" vertical="top" shrinkToFit="1"/>
    </xf>
    <xf numFmtId="182" fontId="90" fillId="22" borderId="0" xfId="0" applyNumberFormat="1" applyFont="1" applyFill="1" applyAlignment="1">
      <alignment horizontal="center" vertical="top" shrinkToFit="1"/>
    </xf>
    <xf numFmtId="182" fontId="80" fillId="22" borderId="0" xfId="0" applyNumberFormat="1" applyFont="1" applyFill="1" applyAlignment="1">
      <alignment horizontal="right" vertical="top" shrinkToFit="1"/>
    </xf>
    <xf numFmtId="182" fontId="80" fillId="22" borderId="51" xfId="0" applyNumberFormat="1" applyFont="1" applyFill="1" applyBorder="1" applyAlignment="1">
      <alignment horizontal="right" vertical="top" shrinkToFit="1"/>
    </xf>
    <xf numFmtId="182" fontId="90" fillId="22" borderId="56" xfId="0" applyNumberFormat="1" applyFont="1" applyFill="1" applyBorder="1" applyAlignment="1">
      <alignment horizontal="center" shrinkToFit="1"/>
    </xf>
    <xf numFmtId="182" fontId="90" fillId="22" borderId="43" xfId="0" applyNumberFormat="1" applyFont="1" applyFill="1" applyBorder="1" applyAlignment="1">
      <alignment horizontal="center" shrinkToFit="1"/>
    </xf>
    <xf numFmtId="182" fontId="80" fillId="22" borderId="53" xfId="0" applyNumberFormat="1" applyFont="1" applyFill="1" applyBorder="1" applyAlignment="1">
      <alignment horizontal="right" shrinkToFit="1"/>
    </xf>
    <xf numFmtId="165" fontId="80" fillId="22" borderId="0" xfId="0" applyNumberFormat="1" applyFont="1" applyFill="1" applyAlignment="1">
      <alignment horizontal="right" vertical="center" shrinkToFit="1"/>
    </xf>
    <xf numFmtId="0" fontId="90" fillId="22" borderId="57" xfId="0" applyFont="1" applyFill="1" applyBorder="1" applyAlignment="1">
      <alignment horizontal="center" vertical="center" shrinkToFit="1"/>
    </xf>
    <xf numFmtId="170" fontId="80" fillId="22" borderId="0" xfId="0" applyNumberFormat="1" applyFont="1" applyFill="1" applyAlignment="1">
      <alignment horizontal="right" vertical="top" shrinkToFit="1"/>
    </xf>
    <xf numFmtId="170" fontId="80" fillId="22" borderId="47" xfId="0" applyNumberFormat="1" applyFont="1" applyFill="1" applyBorder="1" applyAlignment="1">
      <alignment horizontal="right" vertical="top" shrinkToFit="1"/>
    </xf>
    <xf numFmtId="170" fontId="80" fillId="22" borderId="50" xfId="0" applyNumberFormat="1" applyFont="1" applyFill="1" applyBorder="1" applyAlignment="1">
      <alignment horizontal="right" shrinkToFit="1"/>
    </xf>
    <xf numFmtId="170" fontId="90" fillId="22" borderId="39" xfId="0" applyNumberFormat="1" applyFont="1" applyFill="1" applyBorder="1" applyAlignment="1">
      <alignment horizontal="right" shrinkToFit="1"/>
    </xf>
    <xf numFmtId="208" fontId="90" fillId="22" borderId="39" xfId="0" applyNumberFormat="1" applyFont="1" applyFill="1" applyBorder="1" applyAlignment="1">
      <alignment horizontal="right" shrinkToFit="1"/>
    </xf>
    <xf numFmtId="184" fontId="90" fillId="22" borderId="0" xfId="0" applyNumberFormat="1" applyFont="1" applyFill="1" applyAlignment="1">
      <alignment horizontal="right" shrinkToFit="1"/>
    </xf>
    <xf numFmtId="170" fontId="90" fillId="22" borderId="47" xfId="0" applyNumberFormat="1" applyFont="1" applyFill="1" applyBorder="1" applyAlignment="1">
      <alignment horizontal="right" shrinkToFit="1"/>
    </xf>
    <xf numFmtId="184" fontId="90" fillId="22" borderId="51" xfId="0" applyNumberFormat="1" applyFont="1" applyFill="1" applyBorder="1" applyAlignment="1">
      <alignment horizontal="right" shrinkToFit="1"/>
    </xf>
    <xf numFmtId="183" fontId="90" fillId="22" borderId="51" xfId="0" applyNumberFormat="1" applyFont="1" applyFill="1" applyBorder="1" applyAlignment="1">
      <alignment horizontal="right" shrinkToFit="1"/>
    </xf>
    <xf numFmtId="182" fontId="90" fillId="22" borderId="51" xfId="0" applyNumberFormat="1" applyFont="1" applyFill="1" applyBorder="1" applyAlignment="1">
      <alignment horizontal="right" shrinkToFit="1"/>
    </xf>
    <xf numFmtId="216" fontId="90" fillId="22" borderId="0" xfId="0" applyNumberFormat="1" applyFont="1" applyFill="1" applyAlignment="1">
      <alignment horizontal="right" shrinkToFit="1"/>
    </xf>
    <xf numFmtId="170" fontId="90" fillId="22" borderId="49" xfId="0" applyNumberFormat="1" applyFont="1" applyFill="1" applyBorder="1" applyAlignment="1">
      <alignment horizontal="right" shrinkToFit="1"/>
    </xf>
    <xf numFmtId="208" fontId="90" fillId="22" borderId="47" xfId="0" applyNumberFormat="1" applyFont="1" applyFill="1" applyBorder="1" applyAlignment="1">
      <alignment horizontal="right" shrinkToFit="1"/>
    </xf>
    <xf numFmtId="170" fontId="90" fillId="22" borderId="39" xfId="0" applyNumberFormat="1" applyFont="1" applyFill="1" applyBorder="1" applyAlignment="1">
      <alignment horizontal="center" vertical="center" shrinkToFit="1"/>
    </xf>
    <xf numFmtId="170" fontId="90" fillId="22" borderId="51" xfId="0" applyNumberFormat="1" applyFont="1" applyFill="1" applyBorder="1" applyAlignment="1">
      <alignment horizontal="center" vertical="center" shrinkToFit="1"/>
    </xf>
    <xf numFmtId="0" fontId="92" fillId="22" borderId="47" xfId="0" applyFont="1" applyFill="1" applyBorder="1" applyAlignment="1">
      <alignment shrinkToFit="1"/>
    </xf>
    <xf numFmtId="170" fontId="90" fillId="22" borderId="43" xfId="0" applyNumberFormat="1" applyFont="1" applyFill="1" applyBorder="1" applyAlignment="1">
      <alignment horizontal="center" vertical="center" shrinkToFit="1"/>
    </xf>
    <xf numFmtId="0" fontId="90" fillId="22" borderId="39" xfId="0" applyFont="1" applyFill="1" applyBorder="1" applyAlignment="1">
      <alignment horizontal="center" vertical="center" shrinkToFit="1"/>
    </xf>
    <xf numFmtId="0" fontId="90" fillId="22" borderId="48" xfId="0" applyFont="1" applyFill="1" applyBorder="1" applyAlignment="1">
      <alignment horizontal="center" vertical="center" shrinkToFit="1"/>
    </xf>
    <xf numFmtId="0" fontId="90" fillId="22" borderId="48" xfId="0" applyFont="1" applyFill="1" applyBorder="1" applyAlignment="1">
      <alignment horizontal="center" shrinkToFit="1"/>
    </xf>
    <xf numFmtId="208" fontId="90" fillId="22" borderId="49" xfId="0" applyNumberFormat="1" applyFont="1" applyFill="1" applyBorder="1" applyAlignment="1">
      <alignment horizontal="right" shrinkToFit="1"/>
    </xf>
    <xf numFmtId="0" fontId="90" fillId="22" borderId="43" xfId="0" applyFont="1" applyFill="1" applyBorder="1" applyAlignment="1">
      <alignment shrinkToFit="1"/>
    </xf>
    <xf numFmtId="170" fontId="90" fillId="22" borderId="47" xfId="0" applyNumberFormat="1" applyFont="1" applyFill="1" applyBorder="1" applyAlignment="1">
      <alignment horizontal="center" vertical="center" shrinkToFit="1"/>
    </xf>
    <xf numFmtId="217" fontId="90" fillId="22" borderId="52" xfId="0" applyNumberFormat="1" applyFont="1" applyFill="1" applyBorder="1" applyAlignment="1">
      <alignment horizontal="center" vertical="center" shrinkToFit="1"/>
    </xf>
    <xf numFmtId="195" fontId="90" fillId="22" borderId="52" xfId="0" applyNumberFormat="1" applyFont="1" applyFill="1" applyBorder="1" applyAlignment="1">
      <alignment horizontal="center" vertical="center" shrinkToFit="1"/>
    </xf>
    <xf numFmtId="0" fontId="90" fillId="22" borderId="54" xfId="0" applyFont="1" applyFill="1" applyBorder="1" applyAlignment="1">
      <alignment horizontal="center" vertical="center" shrinkToFit="1"/>
    </xf>
    <xf numFmtId="0" fontId="90" fillId="22" borderId="43" xfId="0" applyFont="1" applyFill="1" applyBorder="1" applyAlignment="1">
      <alignment horizontal="center" vertical="center" shrinkToFit="1"/>
    </xf>
    <xf numFmtId="0" fontId="92" fillId="22" borderId="53" xfId="0" applyFont="1" applyFill="1" applyBorder="1" applyAlignment="1">
      <alignment shrinkToFit="1"/>
    </xf>
    <xf numFmtId="0" fontId="90" fillId="22" borderId="49" xfId="0" applyFont="1" applyFill="1" applyBorder="1" applyAlignment="1">
      <alignment shrinkToFit="1"/>
    </xf>
    <xf numFmtId="180" fontId="80" fillId="22" borderId="43" xfId="0" applyNumberFormat="1" applyFont="1" applyFill="1" applyBorder="1" applyAlignment="1">
      <alignment horizontal="right" shrinkToFit="1"/>
    </xf>
    <xf numFmtId="180" fontId="80" fillId="22" borderId="57" xfId="0" applyNumberFormat="1" applyFont="1" applyFill="1" applyBorder="1" applyAlignment="1">
      <alignment horizontal="right" vertical="top" shrinkToFit="1"/>
    </xf>
    <xf numFmtId="209" fontId="80" fillId="22" borderId="0" xfId="0" applyNumberFormat="1" applyFont="1" applyFill="1" applyAlignment="1">
      <alignment horizontal="right" shrinkToFit="1"/>
    </xf>
    <xf numFmtId="171" fontId="80" fillId="22" borderId="0" xfId="0" applyNumberFormat="1" applyFont="1" applyFill="1" applyAlignment="1">
      <alignment horizontal="right" shrinkToFit="1"/>
    </xf>
    <xf numFmtId="0" fontId="94" fillId="22" borderId="43" xfId="0" applyFont="1" applyFill="1" applyBorder="1" applyAlignment="1">
      <alignment shrinkToFit="1"/>
    </xf>
    <xf numFmtId="171" fontId="80" fillId="22" borderId="43" xfId="0" applyNumberFormat="1" applyFont="1" applyFill="1" applyBorder="1" applyAlignment="1">
      <alignment horizontal="right" shrinkToFit="1"/>
    </xf>
    <xf numFmtId="170" fontId="80" fillId="22" borderId="51" xfId="0" applyNumberFormat="1" applyFont="1" applyFill="1" applyBorder="1" applyAlignment="1">
      <alignment horizontal="right" vertical="top" shrinkToFit="1"/>
    </xf>
    <xf numFmtId="170" fontId="90" fillId="22" borderId="57" xfId="0" applyNumberFormat="1" applyFont="1" applyFill="1" applyBorder="1" applyAlignment="1">
      <alignment shrinkToFit="1"/>
    </xf>
    <xf numFmtId="170" fontId="90" fillId="22" borderId="0" xfId="0" applyNumberFormat="1" applyFont="1" applyFill="1" applyAlignment="1">
      <alignment shrinkToFit="1"/>
    </xf>
    <xf numFmtId="170" fontId="90" fillId="22" borderId="57" xfId="0" applyNumberFormat="1" applyFont="1" applyFill="1" applyBorder="1" applyAlignment="1">
      <alignment horizontal="center" shrinkToFit="1"/>
    </xf>
    <xf numFmtId="181" fontId="90" fillId="22" borderId="43" xfId="0" applyNumberFormat="1" applyFont="1" applyFill="1" applyBorder="1" applyAlignment="1">
      <alignment horizontal="right" shrinkToFit="1"/>
    </xf>
    <xf numFmtId="0" fontId="90" fillId="21" borderId="59" xfId="0" applyFont="1" applyFill="1" applyBorder="1" applyAlignment="1">
      <alignment shrinkToFit="1"/>
    </xf>
    <xf numFmtId="0" fontId="107" fillId="21" borderId="0" xfId="0" applyFont="1" applyFill="1" applyAlignment="1">
      <alignment horizontal="right" shrinkToFit="1"/>
    </xf>
    <xf numFmtId="0" fontId="107" fillId="21" borderId="0" xfId="0" applyFont="1" applyFill="1" applyAlignment="1">
      <alignment horizontal="center" shrinkToFit="1"/>
    </xf>
    <xf numFmtId="1" fontId="96" fillId="22" borderId="0" xfId="0" applyNumberFormat="1" applyFont="1" applyFill="1" applyAlignment="1">
      <alignment horizontal="center" shrinkToFit="1"/>
    </xf>
    <xf numFmtId="183" fontId="96" fillId="22" borderId="0" xfId="0" applyNumberFormat="1" applyFont="1" applyFill="1" applyAlignment="1">
      <alignment horizontal="right" shrinkToFit="1"/>
    </xf>
    <xf numFmtId="165" fontId="96" fillId="22" borderId="0" xfId="0" applyNumberFormat="1" applyFont="1" applyFill="1" applyAlignment="1">
      <alignment horizontal="right" shrinkToFit="1"/>
    </xf>
    <xf numFmtId="183" fontId="96" fillId="22" borderId="50" xfId="0" applyNumberFormat="1" applyFont="1" applyFill="1" applyBorder="1" applyAlignment="1">
      <alignment horizontal="right" shrinkToFit="1"/>
    </xf>
    <xf numFmtId="195" fontId="96" fillId="22" borderId="52" xfId="0" applyNumberFormat="1" applyFont="1" applyFill="1" applyBorder="1" applyAlignment="1">
      <alignment horizontal="center" shrinkToFit="1"/>
    </xf>
    <xf numFmtId="0" fontId="96" fillId="22" borderId="0" xfId="0" applyFont="1" applyFill="1" applyAlignment="1">
      <alignment horizontal="center" shrinkToFit="1"/>
    </xf>
    <xf numFmtId="2" fontId="96" fillId="22" borderId="0" xfId="0" applyNumberFormat="1" applyFont="1" applyFill="1" applyAlignment="1">
      <alignment shrinkToFit="1"/>
    </xf>
    <xf numFmtId="183" fontId="96" fillId="22" borderId="51" xfId="0" applyNumberFormat="1" applyFont="1" applyFill="1" applyBorder="1" applyAlignment="1">
      <alignment horizontal="right" shrinkToFit="1"/>
    </xf>
    <xf numFmtId="1" fontId="96" fillId="22" borderId="43" xfId="0" applyNumberFormat="1" applyFont="1" applyFill="1" applyBorder="1" applyAlignment="1">
      <alignment horizontal="center" shrinkToFit="1"/>
    </xf>
    <xf numFmtId="1" fontId="96" fillId="22" borderId="53" xfId="0" applyNumberFormat="1" applyFont="1" applyFill="1" applyBorder="1" applyAlignment="1">
      <alignment horizontal="center" shrinkToFit="1"/>
    </xf>
    <xf numFmtId="1" fontId="96" fillId="22" borderId="54" xfId="0" applyNumberFormat="1" applyFont="1" applyFill="1" applyBorder="1" applyAlignment="1">
      <alignment horizontal="center" shrinkToFit="1"/>
    </xf>
    <xf numFmtId="1" fontId="108" fillId="22" borderId="0" xfId="0" applyNumberFormat="1" applyFont="1" applyFill="1" applyAlignment="1">
      <alignment horizontal="center" shrinkToFit="1"/>
    </xf>
    <xf numFmtId="183" fontId="108" fillId="22" borderId="0" xfId="0" applyNumberFormat="1" applyFont="1" applyFill="1" applyAlignment="1">
      <alignment horizontal="right" shrinkToFit="1"/>
    </xf>
    <xf numFmtId="165" fontId="108" fillId="22" borderId="0" xfId="0" applyNumberFormat="1" applyFont="1" applyFill="1" applyAlignment="1">
      <alignment horizontal="right" shrinkToFit="1"/>
    </xf>
    <xf numFmtId="183" fontId="108" fillId="22" borderId="51" xfId="0" applyNumberFormat="1" applyFont="1" applyFill="1" applyBorder="1" applyAlignment="1">
      <alignment horizontal="right" shrinkToFit="1"/>
    </xf>
    <xf numFmtId="195" fontId="108" fillId="22" borderId="52" xfId="0" applyNumberFormat="1" applyFont="1" applyFill="1" applyBorder="1" applyAlignment="1">
      <alignment horizontal="center" shrinkToFit="1"/>
    </xf>
    <xf numFmtId="0" fontId="108" fillId="22" borderId="0" xfId="0" applyFont="1" applyFill="1" applyAlignment="1">
      <alignment horizontal="center" shrinkToFit="1"/>
    </xf>
    <xf numFmtId="2" fontId="108" fillId="22" borderId="0" xfId="0" applyNumberFormat="1" applyFont="1" applyFill="1" applyAlignment="1">
      <alignment shrinkToFit="1"/>
    </xf>
    <xf numFmtId="1" fontId="108" fillId="22" borderId="51" xfId="0" applyNumberFormat="1" applyFont="1" applyFill="1" applyBorder="1" applyAlignment="1">
      <alignment horizontal="center" shrinkToFit="1"/>
    </xf>
    <xf numFmtId="1" fontId="108" fillId="22" borderId="52" xfId="0" applyNumberFormat="1" applyFont="1" applyFill="1" applyBorder="1" applyAlignment="1">
      <alignment horizontal="center" shrinkToFit="1"/>
    </xf>
    <xf numFmtId="1" fontId="108" fillId="22" borderId="43" xfId="0" applyNumberFormat="1" applyFont="1" applyFill="1" applyBorder="1" applyAlignment="1">
      <alignment horizontal="center" shrinkToFit="1"/>
    </xf>
    <xf numFmtId="1" fontId="108" fillId="22" borderId="53" xfId="0" applyNumberFormat="1" applyFont="1" applyFill="1" applyBorder="1" applyAlignment="1">
      <alignment horizontal="center" shrinkToFit="1"/>
    </xf>
    <xf numFmtId="1" fontId="108" fillId="22" borderId="54" xfId="0" applyNumberFormat="1" applyFont="1" applyFill="1" applyBorder="1" applyAlignment="1">
      <alignment horizontal="center" shrinkToFit="1"/>
    </xf>
    <xf numFmtId="218" fontId="96" fillId="22" borderId="51" xfId="0" applyNumberFormat="1" applyFont="1" applyFill="1" applyBorder="1" applyAlignment="1">
      <alignment horizontal="right" shrinkToFit="1"/>
    </xf>
    <xf numFmtId="183" fontId="96" fillId="22" borderId="43" xfId="0" applyNumberFormat="1" applyFont="1" applyFill="1" applyBorder="1" applyAlignment="1">
      <alignment horizontal="right" shrinkToFit="1"/>
    </xf>
    <xf numFmtId="165" fontId="96" fillId="22" borderId="43" xfId="0" applyNumberFormat="1" applyFont="1" applyFill="1" applyBorder="1" applyAlignment="1">
      <alignment horizontal="right" shrinkToFit="1"/>
    </xf>
    <xf numFmtId="218" fontId="96" fillId="22" borderId="53" xfId="0" applyNumberFormat="1" applyFont="1" applyFill="1" applyBorder="1" applyAlignment="1">
      <alignment horizontal="right" shrinkToFit="1"/>
    </xf>
    <xf numFmtId="195" fontId="96" fillId="22" borderId="52" xfId="0" applyNumberFormat="1" applyFont="1" applyFill="1" applyBorder="1" applyAlignment="1">
      <alignment horizontal="center" vertical="center" shrinkToFit="1"/>
    </xf>
    <xf numFmtId="218" fontId="96" fillId="22" borderId="50" xfId="0" applyNumberFormat="1" applyFont="1" applyFill="1" applyBorder="1" applyAlignment="1">
      <alignment horizontal="right" shrinkToFit="1"/>
    </xf>
    <xf numFmtId="183" fontId="108" fillId="22" borderId="43" xfId="0" applyNumberFormat="1" applyFont="1" applyFill="1" applyBorder="1" applyAlignment="1">
      <alignment horizontal="right" shrinkToFit="1"/>
    </xf>
    <xf numFmtId="165" fontId="108" fillId="22" borderId="43" xfId="0" applyNumberFormat="1" applyFont="1" applyFill="1" applyBorder="1" applyAlignment="1">
      <alignment horizontal="right" shrinkToFit="1"/>
    </xf>
    <xf numFmtId="218" fontId="108" fillId="22" borderId="53" xfId="0" applyNumberFormat="1" applyFont="1" applyFill="1" applyBorder="1" applyAlignment="1">
      <alignment horizontal="right" shrinkToFit="1"/>
    </xf>
    <xf numFmtId="218" fontId="108" fillId="22" borderId="51" xfId="0" applyNumberFormat="1" applyFont="1" applyFill="1" applyBorder="1" applyAlignment="1">
      <alignment horizontal="right" shrinkToFit="1"/>
    </xf>
    <xf numFmtId="192" fontId="90" fillId="22" borderId="0" xfId="0" applyNumberFormat="1" applyFont="1" applyFill="1" applyAlignment="1">
      <alignment horizontal="center" shrinkToFit="1"/>
    </xf>
    <xf numFmtId="218" fontId="90" fillId="22" borderId="0" xfId="0" applyNumberFormat="1" applyFont="1" applyFill="1" applyAlignment="1">
      <alignment horizontal="right" shrinkToFit="1"/>
    </xf>
    <xf numFmtId="186" fontId="90" fillId="22" borderId="56" xfId="0" applyNumberFormat="1" applyFont="1" applyFill="1" applyBorder="1" applyAlignment="1">
      <alignment horizontal="center" shrinkToFit="1"/>
    </xf>
    <xf numFmtId="218" fontId="90" fillId="22" borderId="43" xfId="0" applyNumberFormat="1" applyFont="1" applyFill="1" applyBorder="1" applyAlignment="1">
      <alignment horizontal="right" shrinkToFit="1"/>
    </xf>
    <xf numFmtId="186" fontId="90" fillId="22" borderId="43" xfId="0" applyNumberFormat="1" applyFont="1" applyFill="1" applyBorder="1" applyAlignment="1">
      <alignment horizontal="center" shrinkToFit="1"/>
    </xf>
    <xf numFmtId="224" fontId="90" fillId="22" borderId="47" xfId="0" applyNumberFormat="1" applyFont="1" applyFill="1" applyBorder="1" applyAlignment="1">
      <alignment horizontal="right" shrinkToFit="1"/>
    </xf>
    <xf numFmtId="0" fontId="0" fillId="0" borderId="0" xfId="0" applyAlignment="1">
      <alignment shrinkToFit="1"/>
    </xf>
    <xf numFmtId="0" fontId="2" fillId="21" borderId="0" xfId="0" applyFont="1" applyFill="1" applyAlignment="1">
      <alignment vertical="top" shrinkToFit="1"/>
    </xf>
    <xf numFmtId="0" fontId="90" fillId="21" borderId="0" xfId="0" applyFont="1" applyFill="1" applyAlignment="1">
      <alignment vertical="top" shrinkToFit="1"/>
    </xf>
    <xf numFmtId="0" fontId="90" fillId="22" borderId="57" xfId="0" applyFont="1" applyFill="1" applyBorder="1" applyAlignment="1">
      <alignment horizontal="center" vertical="top" shrinkToFit="1"/>
    </xf>
    <xf numFmtId="0" fontId="90" fillId="21" borderId="59" xfId="0" applyFont="1" applyFill="1" applyBorder="1" applyAlignment="1">
      <alignment vertical="top" shrinkToFit="1"/>
    </xf>
    <xf numFmtId="165" fontId="80" fillId="22" borderId="0" xfId="0" applyNumberFormat="1" applyFont="1" applyFill="1" applyAlignment="1">
      <alignment horizontal="right" vertical="top" shrinkToFit="1"/>
    </xf>
    <xf numFmtId="0" fontId="80" fillId="22" borderId="0" xfId="0" applyFont="1" applyFill="1" applyAlignment="1">
      <alignment horizontal="center" shrinkToFit="1"/>
    </xf>
    <xf numFmtId="0" fontId="109" fillId="22" borderId="50" xfId="0" applyFont="1" applyFill="1" applyBorder="1" applyAlignment="1">
      <alignment horizontal="center" vertical="center" shrinkToFit="1"/>
    </xf>
    <xf numFmtId="0" fontId="109" fillId="22" borderId="53" xfId="0" applyFont="1" applyFill="1" applyBorder="1" applyAlignment="1">
      <alignment horizontal="center" vertical="center" shrinkToFit="1"/>
    </xf>
    <xf numFmtId="0" fontId="109" fillId="22" borderId="51" xfId="0" applyFont="1" applyFill="1" applyBorder="1" applyAlignment="1">
      <alignment horizontal="center" vertical="center" shrinkToFit="1"/>
    </xf>
    <xf numFmtId="0" fontId="109" fillId="22" borderId="51" xfId="0" applyFont="1" applyFill="1" applyBorder="1" applyAlignment="1">
      <alignment vertical="center" shrinkToFit="1"/>
    </xf>
    <xf numFmtId="0" fontId="109" fillId="22" borderId="53" xfId="0" applyFont="1" applyFill="1" applyBorder="1" applyAlignment="1">
      <alignment vertical="center" shrinkToFit="1"/>
    </xf>
    <xf numFmtId="0" fontId="109" fillId="22" borderId="51" xfId="0" applyFont="1" applyFill="1" applyBorder="1" applyAlignment="1">
      <alignment horizontal="center" vertical="top" shrinkToFit="1"/>
    </xf>
    <xf numFmtId="0" fontId="92" fillId="16" borderId="0" xfId="0" applyFont="1" applyFill="1"/>
    <xf numFmtId="0" fontId="110" fillId="21" borderId="0" xfId="0" applyFont="1" applyFill="1" applyAlignment="1">
      <alignment shrinkToFit="1"/>
    </xf>
    <xf numFmtId="0" fontId="95" fillId="21" borderId="0" xfId="0" applyFont="1" applyFill="1" applyAlignment="1">
      <alignment horizontal="center" shrinkToFit="1"/>
    </xf>
    <xf numFmtId="0" fontId="95" fillId="21" borderId="0" xfId="0" applyFont="1" applyFill="1" applyAlignment="1">
      <alignment shrinkToFit="1"/>
    </xf>
    <xf numFmtId="182" fontId="90" fillId="21" borderId="0" xfId="0" applyNumberFormat="1" applyFont="1" applyFill="1" applyAlignment="1">
      <alignment horizontal="left" shrinkToFit="1"/>
    </xf>
    <xf numFmtId="181" fontId="90" fillId="21" borderId="0" xfId="0" applyNumberFormat="1" applyFont="1" applyFill="1" applyAlignment="1">
      <alignment horizontal="left" shrinkToFit="1"/>
    </xf>
    <xf numFmtId="188" fontId="90" fillId="21" borderId="0" xfId="0" applyNumberFormat="1" applyFont="1" applyFill="1" applyAlignment="1">
      <alignment horizontal="right" shrinkToFit="1"/>
    </xf>
    <xf numFmtId="171" fontId="90" fillId="21" borderId="0" xfId="0" applyNumberFormat="1" applyFont="1" applyFill="1" applyAlignment="1">
      <alignment horizontal="right" shrinkToFit="1"/>
    </xf>
    <xf numFmtId="0" fontId="80" fillId="21" borderId="0" xfId="0" applyFont="1" applyFill="1" applyAlignment="1">
      <alignment horizontal="center" shrinkToFit="1"/>
    </xf>
    <xf numFmtId="0" fontId="95" fillId="21" borderId="0" xfId="0" applyFont="1" applyFill="1" applyAlignment="1">
      <alignment horizontal="right" shrinkToFit="1"/>
    </xf>
    <xf numFmtId="177" fontId="95" fillId="21" borderId="0" xfId="0" applyNumberFormat="1" applyFont="1" applyFill="1" applyAlignment="1">
      <alignment horizontal="center" shrinkToFit="1"/>
    </xf>
    <xf numFmtId="0" fontId="90" fillId="21" borderId="0" xfId="0" applyFont="1" applyFill="1" applyAlignment="1">
      <alignment vertical="center" shrinkToFit="1"/>
    </xf>
    <xf numFmtId="0" fontId="80" fillId="21" borderId="0" xfId="0" applyFont="1" applyFill="1" applyAlignment="1">
      <alignment horizontal="center" vertical="center" shrinkToFit="1"/>
    </xf>
    <xf numFmtId="0" fontId="111" fillId="21" borderId="0" xfId="0" applyFont="1" applyFill="1" applyAlignment="1">
      <alignment shrinkToFit="1"/>
    </xf>
    <xf numFmtId="187" fontId="90" fillId="22" borderId="0" xfId="0" applyNumberFormat="1" applyFont="1" applyFill="1" applyAlignment="1">
      <alignment horizontal="right" shrinkToFit="1"/>
    </xf>
    <xf numFmtId="169" fontId="90" fillId="22" borderId="0" xfId="0" applyNumberFormat="1" applyFont="1" applyFill="1" applyAlignment="1">
      <alignment horizontal="right" shrinkToFit="1"/>
    </xf>
    <xf numFmtId="188" fontId="90" fillId="22" borderId="0" xfId="0" applyNumberFormat="1" applyFont="1" applyFill="1" applyAlignment="1">
      <alignment horizontal="right" shrinkToFit="1"/>
    </xf>
    <xf numFmtId="0" fontId="92" fillId="22" borderId="0" xfId="0" applyFont="1" applyFill="1" applyAlignment="1">
      <alignment shrinkToFit="1"/>
    </xf>
    <xf numFmtId="189" fontId="90" fillId="22" borderId="0" xfId="0" applyNumberFormat="1" applyFont="1" applyFill="1" applyAlignment="1">
      <alignment horizontal="right" shrinkToFit="1"/>
    </xf>
    <xf numFmtId="171" fontId="90" fillId="22" borderId="0" xfId="0" applyNumberFormat="1" applyFont="1" applyFill="1" applyAlignment="1">
      <alignment horizontal="left" vertical="center" shrinkToFit="1"/>
    </xf>
    <xf numFmtId="171" fontId="90" fillId="22" borderId="0" xfId="0" applyNumberFormat="1" applyFont="1" applyFill="1" applyAlignment="1">
      <alignment horizontal="left" shrinkToFit="1"/>
    </xf>
    <xf numFmtId="210" fontId="90" fillId="22" borderId="0" xfId="0" applyNumberFormat="1" applyFont="1" applyFill="1" applyAlignment="1">
      <alignment horizontal="left" shrinkToFit="1"/>
    </xf>
    <xf numFmtId="210" fontId="90" fillId="22" borderId="0" xfId="0" applyNumberFormat="1" applyFont="1" applyFill="1" applyAlignment="1">
      <alignment horizontal="center" shrinkToFit="1"/>
    </xf>
    <xf numFmtId="171" fontId="90" fillId="22" borderId="0" xfId="0" applyNumberFormat="1" applyFont="1" applyFill="1" applyAlignment="1">
      <alignment horizontal="right" shrinkToFit="1"/>
    </xf>
    <xf numFmtId="197" fontId="90" fillId="22" borderId="0" xfId="0" applyNumberFormat="1" applyFont="1" applyFill="1" applyAlignment="1">
      <alignment horizontal="right" shrinkToFit="1"/>
    </xf>
    <xf numFmtId="200" fontId="90" fillId="22" borderId="0" xfId="0" applyNumberFormat="1" applyFont="1" applyFill="1" applyAlignment="1">
      <alignment horizontal="right" shrinkToFit="1"/>
    </xf>
    <xf numFmtId="0" fontId="90" fillId="22" borderId="0" xfId="0" applyFont="1" applyFill="1" applyAlignment="1">
      <alignment horizontal="right" shrinkToFit="1"/>
    </xf>
    <xf numFmtId="189" fontId="90" fillId="22" borderId="0" xfId="0" applyNumberFormat="1" applyFont="1" applyFill="1" applyAlignment="1">
      <alignment horizontal="center" shrinkToFit="1"/>
    </xf>
    <xf numFmtId="190" fontId="90" fillId="22" borderId="0" xfId="0" applyNumberFormat="1" applyFont="1" applyFill="1" applyAlignment="1">
      <alignment horizontal="right" shrinkToFit="1"/>
    </xf>
    <xf numFmtId="192" fontId="90" fillId="22" borderId="0" xfId="0" applyNumberFormat="1" applyFont="1" applyFill="1" applyAlignment="1">
      <alignment horizontal="right" shrinkToFit="1"/>
    </xf>
    <xf numFmtId="210" fontId="90" fillId="22" borderId="0" xfId="0" applyNumberFormat="1" applyFont="1" applyFill="1" applyAlignment="1">
      <alignment shrinkToFit="1"/>
    </xf>
    <xf numFmtId="186" fontId="90" fillId="22" borderId="57" xfId="0" applyNumberFormat="1" applyFont="1" applyFill="1" applyBorder="1" applyAlignment="1">
      <alignment horizontal="right" shrinkToFit="1"/>
    </xf>
    <xf numFmtId="187" fontId="90" fillId="22" borderId="57" xfId="0" applyNumberFormat="1" applyFont="1" applyFill="1" applyBorder="1" applyAlignment="1">
      <alignment horizontal="right" shrinkToFit="1"/>
    </xf>
    <xf numFmtId="186" fontId="90" fillId="22" borderId="51" xfId="0" applyNumberFormat="1" applyFont="1" applyFill="1" applyBorder="1" applyAlignment="1">
      <alignment horizontal="right" shrinkToFit="1"/>
    </xf>
    <xf numFmtId="185" fontId="90" fillId="22" borderId="0" xfId="0" applyNumberFormat="1" applyFont="1" applyFill="1" applyAlignment="1">
      <alignment horizontal="right" shrinkToFit="1"/>
    </xf>
    <xf numFmtId="189" fontId="90" fillId="22" borderId="0" xfId="0" applyNumberFormat="1" applyFont="1" applyFill="1" applyAlignment="1">
      <alignment horizontal="left" shrinkToFit="1"/>
    </xf>
    <xf numFmtId="210" fontId="90" fillId="22" borderId="60" xfId="0" applyNumberFormat="1" applyFont="1" applyFill="1" applyBorder="1" applyAlignment="1">
      <alignment shrinkToFit="1"/>
    </xf>
    <xf numFmtId="210" fontId="90" fillId="22" borderId="52" xfId="0" applyNumberFormat="1" applyFont="1" applyFill="1" applyBorder="1" applyAlignment="1">
      <alignment shrinkToFit="1"/>
    </xf>
    <xf numFmtId="0" fontId="90" fillId="22" borderId="52" xfId="0" applyFont="1" applyFill="1" applyBorder="1" applyAlignment="1">
      <alignment vertical="center" shrinkToFit="1"/>
    </xf>
    <xf numFmtId="189" fontId="90" fillId="22" borderId="51" xfId="0" applyNumberFormat="1" applyFont="1" applyFill="1" applyBorder="1" applyAlignment="1">
      <alignment horizontal="right" shrinkToFit="1"/>
    </xf>
    <xf numFmtId="210" fontId="90" fillId="22" borderId="43" xfId="0" applyNumberFormat="1" applyFont="1" applyFill="1" applyBorder="1" applyAlignment="1">
      <alignment horizontal="center" shrinkToFit="1"/>
    </xf>
    <xf numFmtId="197" fontId="90" fillId="22" borderId="51" xfId="0" applyNumberFormat="1" applyFont="1" applyFill="1" applyBorder="1" applyAlignment="1">
      <alignment horizontal="right" shrinkToFit="1"/>
    </xf>
    <xf numFmtId="188" fontId="90" fillId="22" borderId="51" xfId="0" applyNumberFormat="1" applyFont="1" applyFill="1" applyBorder="1" applyAlignment="1">
      <alignment horizontal="right" shrinkToFit="1"/>
    </xf>
    <xf numFmtId="197" fontId="90" fillId="22" borderId="51" xfId="0" applyNumberFormat="1" applyFont="1" applyFill="1" applyBorder="1" applyAlignment="1">
      <alignment horizontal="left" shrinkToFit="1"/>
    </xf>
    <xf numFmtId="0" fontId="90" fillId="22" borderId="52" xfId="0" applyFont="1" applyFill="1" applyBorder="1" applyAlignment="1">
      <alignment shrinkToFit="1"/>
    </xf>
    <xf numFmtId="191" fontId="90" fillId="21" borderId="0" xfId="0" applyNumberFormat="1" applyFont="1" applyFill="1" applyAlignment="1">
      <alignment horizontal="right" shrinkToFit="1"/>
    </xf>
    <xf numFmtId="186" fontId="90" fillId="22" borderId="0" xfId="0" applyNumberFormat="1" applyFont="1" applyFill="1" applyAlignment="1">
      <alignment horizontal="right" shrinkToFit="1"/>
    </xf>
    <xf numFmtId="191" fontId="90" fillId="22" borderId="57" xfId="0" applyNumberFormat="1" applyFont="1" applyFill="1" applyBorder="1" applyAlignment="1">
      <alignment horizontal="right" shrinkToFit="1"/>
    </xf>
    <xf numFmtId="191" fontId="90" fillId="22" borderId="0" xfId="0" applyNumberFormat="1" applyFont="1" applyFill="1" applyAlignment="1">
      <alignment horizontal="right" shrinkToFit="1"/>
    </xf>
    <xf numFmtId="190" fontId="90" fillId="22" borderId="57" xfId="0" applyNumberFormat="1" applyFont="1" applyFill="1" applyBorder="1" applyAlignment="1">
      <alignment horizontal="right" shrinkToFit="1"/>
    </xf>
    <xf numFmtId="189" fontId="90" fillId="22" borderId="52" xfId="0" applyNumberFormat="1" applyFont="1" applyFill="1" applyBorder="1" applyAlignment="1">
      <alignment horizontal="right" shrinkToFit="1"/>
    </xf>
    <xf numFmtId="186" fontId="90" fillId="22" borderId="52" xfId="0" applyNumberFormat="1" applyFont="1" applyFill="1" applyBorder="1" applyAlignment="1">
      <alignment horizontal="right" shrinkToFit="1"/>
    </xf>
    <xf numFmtId="188" fontId="90" fillId="22" borderId="57" xfId="0" applyNumberFormat="1" applyFont="1" applyFill="1" applyBorder="1" applyAlignment="1">
      <alignment horizontal="right" shrinkToFit="1"/>
    </xf>
    <xf numFmtId="0" fontId="90" fillId="22" borderId="57" xfId="0" applyFont="1" applyFill="1" applyBorder="1" applyAlignment="1">
      <alignment shrinkToFit="1"/>
    </xf>
    <xf numFmtId="171" fontId="90" fillId="22" borderId="57" xfId="0" applyNumberFormat="1" applyFont="1" applyFill="1" applyBorder="1" applyAlignment="1">
      <alignment horizontal="right" shrinkToFit="1"/>
    </xf>
    <xf numFmtId="210" fontId="90" fillId="22" borderId="57" xfId="0" applyNumberFormat="1" applyFont="1" applyFill="1" applyBorder="1" applyAlignment="1">
      <alignment horizontal="left" shrinkToFit="1"/>
    </xf>
    <xf numFmtId="165" fontId="90" fillId="22" borderId="0" xfId="0" applyNumberFormat="1" applyFont="1" applyFill="1" applyAlignment="1">
      <alignment horizontal="right" shrinkToFit="1"/>
    </xf>
    <xf numFmtId="210" fontId="90" fillId="22" borderId="57" xfId="0" applyNumberFormat="1" applyFont="1" applyFill="1" applyBorder="1" applyAlignment="1">
      <alignment shrinkToFit="1"/>
    </xf>
    <xf numFmtId="0" fontId="90" fillId="22" borderId="47" xfId="0" applyFont="1" applyFill="1" applyBorder="1" applyAlignment="1">
      <alignment shrinkToFit="1"/>
    </xf>
    <xf numFmtId="0" fontId="106" fillId="21" borderId="0" xfId="0" applyFont="1" applyFill="1" applyAlignment="1">
      <alignment vertical="center" wrapText="1" shrinkToFit="1"/>
    </xf>
    <xf numFmtId="0" fontId="106" fillId="21" borderId="0" xfId="0" applyFont="1" applyFill="1" applyAlignment="1">
      <alignment vertical="center" shrinkToFit="1"/>
    </xf>
    <xf numFmtId="0" fontId="55" fillId="16" borderId="0" xfId="0" applyFont="1" applyFill="1" applyAlignment="1">
      <alignment vertical="center"/>
    </xf>
    <xf numFmtId="0" fontId="92" fillId="22" borderId="57" xfId="0" applyFont="1" applyFill="1" applyBorder="1"/>
    <xf numFmtId="196" fontId="90" fillId="22" borderId="0" xfId="0" applyNumberFormat="1" applyFont="1" applyFill="1" applyAlignment="1">
      <alignment horizontal="right" shrinkToFit="1"/>
    </xf>
    <xf numFmtId="212" fontId="90" fillId="22" borderId="0" xfId="0" applyNumberFormat="1" applyFont="1" applyFill="1" applyAlignment="1">
      <alignment horizontal="right" shrinkToFit="1"/>
    </xf>
    <xf numFmtId="210" fontId="90" fillId="22" borderId="43" xfId="0" applyNumberFormat="1" applyFont="1" applyFill="1" applyBorder="1" applyAlignment="1">
      <alignment shrinkToFit="1"/>
    </xf>
    <xf numFmtId="0" fontId="115" fillId="21" borderId="0" xfId="0" applyFont="1" applyFill="1"/>
    <xf numFmtId="0" fontId="116" fillId="21" borderId="0" xfId="0" applyFont="1" applyFill="1"/>
    <xf numFmtId="0" fontId="115" fillId="21" borderId="0" xfId="0" applyFont="1" applyFill="1" applyAlignment="1">
      <alignment vertical="center"/>
    </xf>
    <xf numFmtId="0" fontId="115" fillId="16" borderId="0" xfId="0" applyFont="1" applyFill="1"/>
    <xf numFmtId="0" fontId="89" fillId="21" borderId="0" xfId="0" applyFont="1" applyFill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80" fillId="22" borderId="0" xfId="0" applyFont="1" applyFill="1" applyAlignment="1">
      <alignment horizontal="center" vertical="center"/>
    </xf>
    <xf numFmtId="0" fontId="80" fillId="21" borderId="0" xfId="0" applyFont="1" applyFill="1" applyAlignment="1">
      <alignment horizontal="center" vertical="center"/>
    </xf>
    <xf numFmtId="0" fontId="80" fillId="21" borderId="0" xfId="0" applyFont="1" applyFill="1"/>
    <xf numFmtId="0" fontId="89" fillId="21" borderId="0" xfId="0" applyFont="1" applyFill="1" applyAlignment="1">
      <alignment horizontal="left" vertical="center"/>
    </xf>
    <xf numFmtId="0" fontId="80" fillId="22" borderId="0" xfId="0" applyFont="1" applyFill="1" applyAlignment="1">
      <alignment horizontal="left" vertical="center"/>
    </xf>
    <xf numFmtId="0" fontId="80" fillId="21" borderId="0" xfId="0" applyFont="1" applyFill="1" applyAlignment="1">
      <alignment horizontal="left" vertical="center"/>
    </xf>
    <xf numFmtId="0" fontId="80" fillId="21" borderId="0" xfId="0" applyFont="1" applyFill="1" applyAlignment="1">
      <alignment horizontal="left"/>
    </xf>
    <xf numFmtId="0" fontId="89" fillId="0" borderId="0" xfId="0" applyFont="1" applyAlignment="1">
      <alignment horizontal="left" vertical="center"/>
    </xf>
    <xf numFmtId="0" fontId="89" fillId="0" borderId="0" xfId="0" applyFont="1" applyAlignment="1">
      <alignment horizontal="left"/>
    </xf>
    <xf numFmtId="0" fontId="89" fillId="21" borderId="0" xfId="0" applyFont="1" applyFill="1" applyAlignment="1">
      <alignment horizontal="right" vertical="center"/>
    </xf>
    <xf numFmtId="0" fontId="80" fillId="22" borderId="0" xfId="0" applyFont="1" applyFill="1" applyAlignment="1">
      <alignment horizontal="right" vertical="center"/>
    </xf>
    <xf numFmtId="2" fontId="80" fillId="22" borderId="0" xfId="0" applyNumberFormat="1" applyFont="1" applyFill="1" applyAlignment="1">
      <alignment horizontal="right" vertical="center"/>
    </xf>
    <xf numFmtId="0" fontId="80" fillId="21" borderId="0" xfId="0" applyFont="1" applyFill="1" applyAlignment="1">
      <alignment horizontal="right" vertical="center"/>
    </xf>
    <xf numFmtId="0" fontId="80" fillId="21" borderId="0" xfId="0" applyFont="1" applyFill="1" applyAlignment="1">
      <alignment horizontal="right"/>
    </xf>
    <xf numFmtId="0" fontId="89" fillId="0" borderId="0" xfId="0" applyFont="1" applyAlignment="1">
      <alignment horizontal="right" vertical="center"/>
    </xf>
    <xf numFmtId="0" fontId="89" fillId="0" borderId="0" xfId="0" applyFont="1" applyAlignment="1">
      <alignment horizontal="right"/>
    </xf>
    <xf numFmtId="0" fontId="116" fillId="21" borderId="0" xfId="0" applyFont="1" applyFill="1" applyAlignment="1">
      <alignment horizontal="left" vertical="center"/>
    </xf>
    <xf numFmtId="0" fontId="80" fillId="22" borderId="43" xfId="0" applyFont="1" applyFill="1" applyBorder="1" applyAlignment="1">
      <alignment horizontal="center" vertical="center"/>
    </xf>
    <xf numFmtId="0" fontId="80" fillId="22" borderId="43" xfId="0" applyFont="1" applyFill="1" applyBorder="1" applyAlignment="1">
      <alignment horizontal="left" vertical="center"/>
    </xf>
    <xf numFmtId="2" fontId="80" fillId="22" borderId="43" xfId="0" applyNumberFormat="1" applyFont="1" applyFill="1" applyBorder="1" applyAlignment="1">
      <alignment horizontal="right" vertical="center"/>
    </xf>
    <xf numFmtId="0" fontId="107" fillId="21" borderId="0" xfId="0" applyFont="1" applyFill="1" applyAlignment="1">
      <alignment shrinkToFit="1"/>
    </xf>
    <xf numFmtId="0" fontId="90" fillId="22" borderId="0" xfId="0" applyFont="1" applyFill="1" applyAlignment="1">
      <alignment horizontal="left" shrinkToFit="1"/>
    </xf>
    <xf numFmtId="189" fontId="90" fillId="22" borderId="51" xfId="0" applyNumberFormat="1" applyFont="1" applyFill="1" applyBorder="1" applyAlignment="1">
      <alignment horizontal="center" shrinkToFit="1"/>
    </xf>
    <xf numFmtId="183" fontId="80" fillId="22" borderId="43" xfId="0" applyNumberFormat="1" applyFont="1" applyFill="1" applyBorder="1" applyAlignment="1">
      <alignment horizontal="right" shrinkToFit="1"/>
    </xf>
    <xf numFmtId="0" fontId="2" fillId="21" borderId="0" xfId="0" applyFont="1" applyFill="1" applyAlignment="1">
      <alignment horizontal="left" vertical="center" indent="1"/>
    </xf>
    <xf numFmtId="0" fontId="80" fillId="22" borderId="0" xfId="0" applyFont="1" applyFill="1" applyAlignment="1">
      <alignment horizontal="left" vertical="center" indent="1"/>
    </xf>
    <xf numFmtId="0" fontId="80" fillId="22" borderId="43" xfId="0" applyFont="1" applyFill="1" applyBorder="1" applyAlignment="1">
      <alignment horizontal="left" vertical="center" indent="1"/>
    </xf>
    <xf numFmtId="0" fontId="90" fillId="22" borderId="0" xfId="0" applyFont="1" applyFill="1" applyAlignment="1">
      <alignment horizontal="left" vertical="top" wrapText="1" indent="1"/>
    </xf>
    <xf numFmtId="0" fontId="90" fillId="22" borderId="0" xfId="0" applyFont="1" applyFill="1" applyAlignment="1">
      <alignment horizontal="left" indent="1" shrinkToFit="1"/>
    </xf>
    <xf numFmtId="0" fontId="90" fillId="22" borderId="57" xfId="0" applyFont="1" applyFill="1" applyBorder="1" applyAlignment="1">
      <alignment horizontal="left" indent="1" shrinkToFit="1"/>
    </xf>
    <xf numFmtId="0" fontId="90" fillId="22" borderId="43" xfId="0" applyFont="1" applyFill="1" applyBorder="1" applyAlignment="1">
      <alignment horizontal="left" indent="1" shrinkToFit="1"/>
    </xf>
    <xf numFmtId="0" fontId="90" fillId="22" borderId="50" xfId="0" applyFont="1" applyFill="1" applyBorder="1" applyAlignment="1">
      <alignment horizontal="left" indent="1" shrinkToFit="1"/>
    </xf>
    <xf numFmtId="0" fontId="90" fillId="22" borderId="51" xfId="0" applyFont="1" applyFill="1" applyBorder="1" applyAlignment="1">
      <alignment horizontal="left" indent="1" shrinkToFit="1"/>
    </xf>
    <xf numFmtId="0" fontId="80" fillId="22" borderId="0" xfId="0" applyFont="1" applyFill="1" applyAlignment="1">
      <alignment horizontal="left" indent="1" shrinkToFit="1"/>
    </xf>
    <xf numFmtId="189" fontId="90" fillId="22" borderId="50" xfId="0" applyNumberFormat="1" applyFont="1" applyFill="1" applyBorder="1" applyAlignment="1">
      <alignment horizontal="right" shrinkToFit="1"/>
    </xf>
    <xf numFmtId="0" fontId="90" fillId="22" borderId="0" xfId="0" applyFont="1" applyFill="1" applyAlignment="1">
      <alignment horizontal="left" vertical="top" indent="1" shrinkToFit="1"/>
    </xf>
    <xf numFmtId="0" fontId="2" fillId="22" borderId="26" xfId="0" applyFont="1" applyFill="1" applyBorder="1" applyAlignment="1">
      <alignment horizontal="left"/>
    </xf>
    <xf numFmtId="0" fontId="2" fillId="22" borderId="63" xfId="0" applyFont="1" applyFill="1" applyBorder="1" applyAlignment="1">
      <alignment horizontal="left"/>
    </xf>
    <xf numFmtId="9" fontId="2" fillId="22" borderId="63" xfId="1" applyFont="1" applyFill="1" applyBorder="1"/>
    <xf numFmtId="9" fontId="2" fillId="22" borderId="63" xfId="0" applyNumberFormat="1" applyFont="1" applyFill="1" applyBorder="1"/>
    <xf numFmtId="0" fontId="2" fillId="25" borderId="0" xfId="0" applyFont="1" applyFill="1"/>
    <xf numFmtId="0" fontId="116" fillId="21" borderId="0" xfId="0" applyFont="1" applyFill="1" applyAlignment="1">
      <alignment vertical="center"/>
    </xf>
    <xf numFmtId="0" fontId="80" fillId="18" borderId="0" xfId="0" applyFont="1" applyFill="1" applyAlignment="1">
      <alignment horizontal="left" vertical="center"/>
    </xf>
    <xf numFmtId="0" fontId="117" fillId="0" borderId="0" xfId="0" applyFont="1"/>
    <xf numFmtId="0" fontId="2" fillId="2" borderId="26" xfId="0" applyFont="1" applyFill="1" applyBorder="1"/>
    <xf numFmtId="165" fontId="54" fillId="2" borderId="0" xfId="0" applyNumberFormat="1" applyFont="1" applyFill="1"/>
    <xf numFmtId="164" fontId="54" fillId="2" borderId="0" xfId="0" applyNumberFormat="1" applyFont="1" applyFill="1"/>
    <xf numFmtId="4" fontId="2" fillId="3" borderId="26" xfId="0" applyNumberFormat="1" applyFont="1" applyFill="1" applyBorder="1"/>
    <xf numFmtId="9" fontId="2" fillId="3" borderId="26" xfId="1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center"/>
    </xf>
    <xf numFmtId="177" fontId="2" fillId="3" borderId="26" xfId="0" applyNumberFormat="1" applyFont="1" applyFill="1" applyBorder="1"/>
    <xf numFmtId="0" fontId="0" fillId="14" borderId="26" xfId="0" applyFill="1" applyBorder="1"/>
    <xf numFmtId="4" fontId="2" fillId="14" borderId="26" xfId="0" applyNumberFormat="1" applyFont="1" applyFill="1" applyBorder="1"/>
    <xf numFmtId="0" fontId="2" fillId="14" borderId="26" xfId="0" applyFont="1" applyFill="1" applyBorder="1" applyAlignment="1">
      <alignment horizontal="center"/>
    </xf>
    <xf numFmtId="0" fontId="2" fillId="26" borderId="26" xfId="0" applyFont="1" applyFill="1" applyBorder="1"/>
    <xf numFmtId="0" fontId="0" fillId="26" borderId="26" xfId="0" applyFill="1" applyBorder="1"/>
    <xf numFmtId="9" fontId="2" fillId="26" borderId="26" xfId="1" applyFont="1" applyFill="1" applyBorder="1"/>
    <xf numFmtId="9" fontId="2" fillId="26" borderId="26" xfId="0" applyNumberFormat="1" applyFont="1" applyFill="1" applyBorder="1"/>
    <xf numFmtId="2" fontId="2" fillId="26" borderId="26" xfId="1" applyNumberFormat="1" applyFont="1" applyFill="1" applyBorder="1"/>
    <xf numFmtId="4" fontId="2" fillId="26" borderId="26" xfId="0" applyNumberFormat="1" applyFont="1" applyFill="1" applyBorder="1"/>
    <xf numFmtId="9" fontId="2" fillId="26" borderId="26" xfId="1" applyFont="1" applyFill="1" applyBorder="1" applyAlignment="1">
      <alignment horizontal="left"/>
    </xf>
    <xf numFmtId="0" fontId="0" fillId="3" borderId="0" xfId="0" applyFill="1"/>
    <xf numFmtId="0" fontId="54" fillId="14" borderId="26" xfId="0" applyFont="1" applyFill="1" applyBorder="1"/>
    <xf numFmtId="0" fontId="54" fillId="3" borderId="26" xfId="0" applyFont="1" applyFill="1" applyBorder="1"/>
    <xf numFmtId="203" fontId="54" fillId="3" borderId="26" xfId="0" applyNumberFormat="1" applyFont="1" applyFill="1" applyBorder="1"/>
    <xf numFmtId="203" fontId="54" fillId="3" borderId="64" xfId="0" applyNumberFormat="1" applyFont="1" applyFill="1" applyBorder="1"/>
    <xf numFmtId="9" fontId="2" fillId="2" borderId="0" xfId="1" applyFont="1" applyFill="1" applyBorder="1"/>
    <xf numFmtId="9" fontId="2" fillId="2" borderId="0" xfId="0" applyNumberFormat="1" applyFont="1" applyFill="1"/>
    <xf numFmtId="2" fontId="2" fillId="25" borderId="0" xfId="0" applyNumberFormat="1" applyFont="1" applyFill="1"/>
    <xf numFmtId="4" fontId="2" fillId="3" borderId="0" xfId="0" applyNumberFormat="1" applyFont="1" applyFill="1"/>
    <xf numFmtId="0" fontId="2" fillId="22" borderId="0" xfId="0" applyFont="1" applyFill="1"/>
    <xf numFmtId="0" fontId="38" fillId="2" borderId="0" xfId="0" applyFont="1" applyFill="1" applyAlignment="1">
      <alignment horizontal="center" vertical="center"/>
    </xf>
    <xf numFmtId="171" fontId="68" fillId="2" borderId="0" xfId="0" applyNumberFormat="1" applyFont="1" applyFill="1" applyAlignment="1">
      <alignment horizontal="left"/>
    </xf>
    <xf numFmtId="177" fontId="67" fillId="2" borderId="0" xfId="0" applyNumberFormat="1" applyFont="1" applyFill="1" applyAlignment="1">
      <alignment horizontal="left"/>
    </xf>
    <xf numFmtId="185" fontId="22" fillId="2" borderId="0" xfId="0" applyNumberFormat="1" applyFont="1" applyFill="1"/>
    <xf numFmtId="0" fontId="67" fillId="2" borderId="0" xfId="0" applyFont="1" applyFill="1"/>
    <xf numFmtId="0" fontId="68" fillId="2" borderId="0" xfId="0" applyFont="1" applyFill="1"/>
    <xf numFmtId="171" fontId="22" fillId="2" borderId="0" xfId="0" applyNumberFormat="1" applyFont="1" applyFill="1"/>
    <xf numFmtId="0" fontId="67" fillId="2" borderId="0" xfId="0" applyFont="1" applyFill="1" applyAlignment="1">
      <alignment horizontal="center"/>
    </xf>
    <xf numFmtId="189" fontId="22" fillId="2" borderId="0" xfId="0" applyNumberFormat="1" applyFont="1" applyFill="1"/>
    <xf numFmtId="197" fontId="22" fillId="2" borderId="0" xfId="0" applyNumberFormat="1" applyFont="1" applyFill="1" applyAlignment="1">
      <alignment horizontal="right"/>
    </xf>
    <xf numFmtId="0" fontId="25" fillId="5" borderId="28" xfId="0" applyFont="1" applyFill="1" applyBorder="1"/>
    <xf numFmtId="0" fontId="41" fillId="5" borderId="26" xfId="0" applyFont="1" applyFill="1" applyBorder="1" applyAlignment="1">
      <alignment horizontal="left"/>
    </xf>
    <xf numFmtId="0" fontId="36" fillId="5" borderId="26" xfId="0" applyFont="1" applyFill="1" applyBorder="1" applyAlignment="1">
      <alignment horizontal="left"/>
    </xf>
    <xf numFmtId="0" fontId="34" fillId="5" borderId="26" xfId="0" applyFont="1" applyFill="1" applyBorder="1"/>
    <xf numFmtId="0" fontId="25" fillId="5" borderId="26" xfId="0" applyFont="1" applyFill="1" applyBorder="1"/>
    <xf numFmtId="0" fontId="29" fillId="2" borderId="26" xfId="0" applyFont="1" applyFill="1" applyBorder="1" applyAlignment="1">
      <alignment horizontal="center"/>
    </xf>
    <xf numFmtId="0" fontId="30" fillId="2" borderId="26" xfId="0" applyFont="1" applyFill="1" applyBorder="1" applyAlignment="1">
      <alignment horizontal="center"/>
    </xf>
    <xf numFmtId="197" fontId="22" fillId="3" borderId="26" xfId="0" applyNumberFormat="1" applyFont="1" applyFill="1" applyBorder="1" applyAlignment="1">
      <alignment horizontal="right"/>
    </xf>
    <xf numFmtId="197" fontId="22" fillId="3" borderId="26" xfId="0" applyNumberFormat="1" applyFont="1" applyFill="1" applyBorder="1"/>
    <xf numFmtId="177" fontId="29" fillId="3" borderId="26" xfId="0" applyNumberFormat="1" applyFont="1" applyFill="1" applyBorder="1" applyAlignment="1">
      <alignment horizontal="center"/>
    </xf>
    <xf numFmtId="0" fontId="29" fillId="3" borderId="26" xfId="0" applyFont="1" applyFill="1" applyBorder="1" applyAlignment="1">
      <alignment horizontal="center"/>
    </xf>
    <xf numFmtId="2" fontId="29" fillId="3" borderId="26" xfId="0" applyNumberFormat="1" applyFont="1" applyFill="1" applyBorder="1" applyAlignment="1">
      <alignment horizontal="center"/>
    </xf>
    <xf numFmtId="197" fontId="22" fillId="3" borderId="26" xfId="0" applyNumberFormat="1" applyFont="1" applyFill="1" applyBorder="1" applyAlignment="1">
      <alignment horizontal="center"/>
    </xf>
    <xf numFmtId="192" fontId="22" fillId="3" borderId="26" xfId="0" applyNumberFormat="1" applyFont="1" applyFill="1" applyBorder="1" applyAlignment="1">
      <alignment horizontal="right"/>
    </xf>
    <xf numFmtId="171" fontId="22" fillId="3" borderId="26" xfId="0" applyNumberFormat="1" applyFont="1" applyFill="1" applyBorder="1" applyAlignment="1">
      <alignment horizontal="right"/>
    </xf>
    <xf numFmtId="188" fontId="22" fillId="3" borderId="26" xfId="0" applyNumberFormat="1" applyFont="1" applyFill="1" applyBorder="1"/>
    <xf numFmtId="188" fontId="22" fillId="3" borderId="26" xfId="0" applyNumberFormat="1" applyFont="1" applyFill="1" applyBorder="1" applyAlignment="1">
      <alignment horizontal="right"/>
    </xf>
    <xf numFmtId="171" fontId="22" fillId="3" borderId="26" xfId="0" applyNumberFormat="1" applyFont="1" applyFill="1" applyBorder="1" applyAlignment="1">
      <alignment horizontal="center"/>
    </xf>
    <xf numFmtId="189" fontId="22" fillId="3" borderId="26" xfId="0" applyNumberFormat="1" applyFont="1" applyFill="1" applyBorder="1" applyAlignment="1">
      <alignment horizontal="right"/>
    </xf>
    <xf numFmtId="171" fontId="22" fillId="3" borderId="26" xfId="0" applyNumberFormat="1" applyFont="1" applyFill="1" applyBorder="1"/>
    <xf numFmtId="0" fontId="40" fillId="3" borderId="26" xfId="0" applyFont="1" applyFill="1" applyBorder="1"/>
    <xf numFmtId="189" fontId="22" fillId="3" borderId="28" xfId="0" applyNumberFormat="1" applyFont="1" applyFill="1" applyBorder="1" applyAlignment="1">
      <alignment horizontal="right"/>
    </xf>
    <xf numFmtId="197" fontId="22" fillId="3" borderId="28" xfId="0" applyNumberFormat="1" applyFont="1" applyFill="1" applyBorder="1" applyAlignment="1">
      <alignment horizontal="right"/>
    </xf>
    <xf numFmtId="197" fontId="22" fillId="3" borderId="28" xfId="0" applyNumberFormat="1" applyFont="1" applyFill="1" applyBorder="1"/>
    <xf numFmtId="192" fontId="22" fillId="3" borderId="28" xfId="0" applyNumberFormat="1" applyFont="1" applyFill="1" applyBorder="1" applyAlignment="1">
      <alignment horizontal="right"/>
    </xf>
    <xf numFmtId="188" fontId="22" fillId="3" borderId="28" xfId="0" applyNumberFormat="1" applyFont="1" applyFill="1" applyBorder="1" applyAlignment="1">
      <alignment horizontal="right"/>
    </xf>
    <xf numFmtId="188" fontId="22" fillId="3" borderId="28" xfId="0" applyNumberFormat="1" applyFont="1" applyFill="1" applyBorder="1"/>
    <xf numFmtId="171" fontId="22" fillId="3" borderId="28" xfId="0" applyNumberFormat="1" applyFont="1" applyFill="1" applyBorder="1" applyAlignment="1">
      <alignment horizontal="center"/>
    </xf>
    <xf numFmtId="177" fontId="29" fillId="3" borderId="28" xfId="0" applyNumberFormat="1" applyFont="1" applyFill="1" applyBorder="1" applyAlignment="1">
      <alignment horizontal="center"/>
    </xf>
    <xf numFmtId="0" fontId="29" fillId="3" borderId="28" xfId="0" applyFont="1" applyFill="1" applyBorder="1" applyAlignment="1">
      <alignment horizontal="center"/>
    </xf>
    <xf numFmtId="2" fontId="29" fillId="3" borderId="28" xfId="0" applyNumberFormat="1" applyFont="1" applyFill="1" applyBorder="1" applyAlignment="1">
      <alignment horizontal="center"/>
    </xf>
    <xf numFmtId="197" fontId="22" fillId="3" borderId="28" xfId="0" applyNumberFormat="1" applyFont="1" applyFill="1" applyBorder="1" applyAlignment="1">
      <alignment horizontal="center"/>
    </xf>
    <xf numFmtId="171" fontId="22" fillId="3" borderId="66" xfId="0" applyNumberFormat="1" applyFont="1" applyFill="1" applyBorder="1" applyAlignment="1">
      <alignment horizontal="right"/>
    </xf>
    <xf numFmtId="191" fontId="22" fillId="3" borderId="67" xfId="0" applyNumberFormat="1" applyFont="1" applyFill="1" applyBorder="1"/>
    <xf numFmtId="0" fontId="35" fillId="2" borderId="26" xfId="0" applyFont="1" applyFill="1" applyBorder="1" applyAlignment="1">
      <alignment horizontal="center"/>
    </xf>
    <xf numFmtId="0" fontId="35" fillId="2" borderId="64" xfId="0" applyFont="1" applyFill="1" applyBorder="1" applyAlignment="1">
      <alignment horizontal="center"/>
    </xf>
    <xf numFmtId="210" fontId="2" fillId="2" borderId="0" xfId="0" applyNumberFormat="1" applyFont="1" applyFill="1"/>
    <xf numFmtId="210" fontId="22" fillId="3" borderId="26" xfId="0" applyNumberFormat="1" applyFont="1" applyFill="1" applyBorder="1" applyAlignment="1">
      <alignment horizontal="right"/>
    </xf>
    <xf numFmtId="210" fontId="22" fillId="3" borderId="26" xfId="0" applyNumberFormat="1" applyFont="1" applyFill="1" applyBorder="1"/>
    <xf numFmtId="171" fontId="22" fillId="3" borderId="64" xfId="0" applyNumberFormat="1" applyFont="1" applyFill="1" applyBorder="1" applyAlignment="1">
      <alignment horizontal="center"/>
    </xf>
    <xf numFmtId="192" fontId="22" fillId="3" borderId="26" xfId="0" applyNumberFormat="1" applyFont="1" applyFill="1" applyBorder="1"/>
    <xf numFmtId="214" fontId="22" fillId="3" borderId="26" xfId="0" applyNumberFormat="1" applyFont="1" applyFill="1" applyBorder="1" applyAlignment="1">
      <alignment horizontal="right"/>
    </xf>
    <xf numFmtId="177" fontId="29" fillId="3" borderId="64" xfId="0" applyNumberFormat="1" applyFont="1" applyFill="1" applyBorder="1" applyAlignment="1">
      <alignment horizontal="center"/>
    </xf>
    <xf numFmtId="171" fontId="22" fillId="3" borderId="65" xfId="0" applyNumberFormat="1" applyFont="1" applyFill="1" applyBorder="1"/>
    <xf numFmtId="0" fontId="40" fillId="3" borderId="65" xfId="0" applyFont="1" applyFill="1" applyBorder="1"/>
    <xf numFmtId="0" fontId="41" fillId="2" borderId="26" xfId="0" applyFont="1" applyFill="1" applyBorder="1" applyAlignment="1">
      <alignment horizontal="left"/>
    </xf>
    <xf numFmtId="0" fontId="36" fillId="2" borderId="26" xfId="0" applyFont="1" applyFill="1" applyBorder="1" applyAlignment="1">
      <alignment horizontal="left"/>
    </xf>
    <xf numFmtId="0" fontId="34" fillId="2" borderId="26" xfId="0" applyFont="1" applyFill="1" applyBorder="1"/>
    <xf numFmtId="0" fontId="29" fillId="2" borderId="64" xfId="0" applyFont="1" applyFill="1" applyBorder="1" applyAlignment="1">
      <alignment horizontal="center"/>
    </xf>
    <xf numFmtId="0" fontId="8" fillId="2" borderId="64" xfId="0" applyFont="1" applyFill="1" applyBorder="1" applyAlignment="1">
      <alignment horizontal="center"/>
    </xf>
    <xf numFmtId="0" fontId="30" fillId="2" borderId="63" xfId="0" applyFont="1" applyFill="1" applyBorder="1" applyAlignment="1">
      <alignment horizontal="center"/>
    </xf>
    <xf numFmtId="0" fontId="0" fillId="2" borderId="65" xfId="0" applyFill="1" applyBorder="1"/>
    <xf numFmtId="0" fontId="30" fillId="2" borderId="65" xfId="0" applyFont="1" applyFill="1" applyBorder="1" applyAlignment="1">
      <alignment horizontal="center"/>
    </xf>
    <xf numFmtId="0" fontId="72" fillId="17" borderId="0" xfId="0" applyFont="1" applyFill="1" applyAlignment="1">
      <alignment vertical="center" wrapText="1"/>
    </xf>
    <xf numFmtId="2" fontId="80" fillId="18" borderId="0" xfId="0" applyNumberFormat="1" applyFont="1" applyFill="1" applyAlignment="1" applyProtection="1">
      <alignment horizontal="right" vertical="center"/>
      <protection locked="0"/>
    </xf>
    <xf numFmtId="0" fontId="80" fillId="18" borderId="0" xfId="0" applyFont="1" applyFill="1" applyAlignment="1" applyProtection="1">
      <alignment horizontal="right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75" fontId="118" fillId="18" borderId="0" xfId="0" applyNumberFormat="1" applyFont="1" applyFill="1" applyAlignment="1">
      <alignment horizontal="center" vertical="center" shrinkToFit="1"/>
    </xf>
    <xf numFmtId="0" fontId="64" fillId="0" borderId="0" xfId="0" applyFont="1" applyAlignment="1">
      <alignment horizontal="center"/>
    </xf>
    <xf numFmtId="0" fontId="55" fillId="0" borderId="0" xfId="0" applyFont="1" applyAlignment="1">
      <alignment horizontal="center" vertical="center" shrinkToFit="1"/>
    </xf>
    <xf numFmtId="180" fontId="80" fillId="18" borderId="0" xfId="0" applyNumberFormat="1" applyFont="1" applyFill="1" applyAlignment="1" applyProtection="1">
      <alignment horizontal="center" vertical="center" shrinkToFit="1"/>
      <protection locked="0"/>
    </xf>
    <xf numFmtId="0" fontId="82" fillId="19" borderId="0" xfId="0" applyFont="1" applyFill="1" applyAlignment="1">
      <alignment horizontal="left" vertical="center" shrinkToFit="1"/>
    </xf>
    <xf numFmtId="0" fontId="80" fillId="19" borderId="36" xfId="0" applyFont="1" applyFill="1" applyBorder="1" applyAlignment="1">
      <alignment horizontal="center" vertical="center" shrinkToFit="1"/>
    </xf>
    <xf numFmtId="0" fontId="80" fillId="18" borderId="0" xfId="0" applyFont="1" applyFill="1" applyAlignment="1" applyProtection="1">
      <alignment horizontal="center" vertical="center" shrinkToFit="1"/>
      <protection locked="0"/>
    </xf>
    <xf numFmtId="205" fontId="80" fillId="18" borderId="0" xfId="0" applyNumberFormat="1" applyFont="1" applyFill="1" applyAlignment="1" applyProtection="1">
      <alignment horizontal="right" vertical="center" shrinkToFit="1"/>
      <protection locked="0"/>
    </xf>
    <xf numFmtId="0" fontId="63" fillId="0" borderId="0" xfId="0" applyFont="1" applyAlignment="1">
      <alignment horizontal="center" vertical="center"/>
    </xf>
    <xf numFmtId="0" fontId="83" fillId="19" borderId="46" xfId="0" applyFont="1" applyFill="1" applyBorder="1" applyAlignment="1">
      <alignment horizontal="center" vertical="center" shrinkToFit="1"/>
    </xf>
    <xf numFmtId="0" fontId="82" fillId="19" borderId="0" xfId="0" applyFont="1" applyFill="1" applyAlignment="1">
      <alignment horizontal="center" vertical="center" shrinkToFit="1"/>
    </xf>
    <xf numFmtId="172" fontId="84" fillId="17" borderId="39" xfId="0" applyNumberFormat="1" applyFont="1" applyFill="1" applyBorder="1" applyAlignment="1">
      <alignment horizontal="right" vertical="center" shrinkToFit="1"/>
    </xf>
    <xf numFmtId="172" fontId="84" fillId="17" borderId="47" xfId="0" applyNumberFormat="1" applyFont="1" applyFill="1" applyBorder="1" applyAlignment="1">
      <alignment horizontal="right" vertical="center" shrinkToFit="1"/>
    </xf>
    <xf numFmtId="168" fontId="84" fillId="17" borderId="39" xfId="0" applyNumberFormat="1" applyFont="1" applyFill="1" applyBorder="1" applyAlignment="1">
      <alignment horizontal="right" vertical="center" shrinkToFit="1"/>
    </xf>
    <xf numFmtId="168" fontId="84" fillId="17" borderId="47" xfId="0" applyNumberFormat="1" applyFont="1" applyFill="1" applyBorder="1" applyAlignment="1">
      <alignment horizontal="right" vertical="center" shrinkToFit="1"/>
    </xf>
    <xf numFmtId="173" fontId="84" fillId="17" borderId="39" xfId="0" applyNumberFormat="1" applyFont="1" applyFill="1" applyBorder="1" applyAlignment="1">
      <alignment horizontal="right" vertical="center" shrinkToFit="1"/>
    </xf>
    <xf numFmtId="173" fontId="84" fillId="17" borderId="47" xfId="0" applyNumberFormat="1" applyFont="1" applyFill="1" applyBorder="1" applyAlignment="1">
      <alignment horizontal="right" vertical="center" shrinkToFit="1"/>
    </xf>
    <xf numFmtId="0" fontId="85" fillId="17" borderId="0" xfId="0" applyFont="1" applyFill="1" applyAlignment="1">
      <alignment horizontal="left" vertical="center" shrinkToFit="1"/>
    </xf>
    <xf numFmtId="0" fontId="80" fillId="19" borderId="34" xfId="0" applyFont="1" applyFill="1" applyBorder="1" applyAlignment="1">
      <alignment horizontal="center" vertical="center" shrinkToFit="1"/>
    </xf>
    <xf numFmtId="0" fontId="80" fillId="19" borderId="0" xfId="0" applyFont="1" applyFill="1" applyAlignment="1">
      <alignment horizontal="center" vertical="center" shrinkToFit="1"/>
    </xf>
    <xf numFmtId="0" fontId="83" fillId="19" borderId="38" xfId="0" applyFont="1" applyFill="1" applyBorder="1" applyAlignment="1">
      <alignment horizontal="center" vertical="center" shrinkToFit="1"/>
    </xf>
    <xf numFmtId="2" fontId="84" fillId="17" borderId="39" xfId="0" applyNumberFormat="1" applyFont="1" applyFill="1" applyBorder="1" applyAlignment="1">
      <alignment horizontal="left" vertical="center" shrinkToFit="1"/>
    </xf>
    <xf numFmtId="9" fontId="84" fillId="17" borderId="39" xfId="1" applyFont="1" applyFill="1" applyBorder="1" applyAlignment="1">
      <alignment horizontal="right" vertical="center" shrinkToFit="1"/>
    </xf>
    <xf numFmtId="2" fontId="84" fillId="17" borderId="43" xfId="0" applyNumberFormat="1" applyFont="1" applyFill="1" applyBorder="1" applyAlignment="1">
      <alignment horizontal="left" vertical="center" shrinkToFit="1"/>
    </xf>
    <xf numFmtId="165" fontId="84" fillId="17" borderId="39" xfId="0" applyNumberFormat="1" applyFont="1" applyFill="1" applyBorder="1" applyAlignment="1">
      <alignment horizontal="right" vertical="center" shrinkToFit="1"/>
    </xf>
    <xf numFmtId="166" fontId="84" fillId="17" borderId="39" xfId="0" applyNumberFormat="1" applyFont="1" applyFill="1" applyBorder="1" applyAlignment="1">
      <alignment horizontal="right" vertical="center" shrinkToFit="1"/>
    </xf>
    <xf numFmtId="167" fontId="84" fillId="17" borderId="39" xfId="0" applyNumberFormat="1" applyFont="1" applyFill="1" applyBorder="1" applyAlignment="1">
      <alignment horizontal="right" vertical="center" shrinkToFit="1"/>
    </xf>
    <xf numFmtId="2" fontId="85" fillId="17" borderId="0" xfId="0" applyNumberFormat="1" applyFont="1" applyFill="1" applyAlignment="1">
      <alignment horizontal="left" vertical="center" shrinkToFit="1"/>
    </xf>
    <xf numFmtId="0" fontId="82" fillId="19" borderId="42" xfId="0" applyFont="1" applyFill="1" applyBorder="1" applyAlignment="1">
      <alignment horizontal="center" vertical="center" shrinkToFit="1"/>
    </xf>
    <xf numFmtId="202" fontId="85" fillId="17" borderId="0" xfId="0" applyNumberFormat="1" applyFont="1" applyFill="1" applyAlignment="1">
      <alignment horizontal="center" vertical="center" shrinkToFit="1"/>
    </xf>
    <xf numFmtId="0" fontId="72" fillId="17" borderId="0" xfId="0" applyFont="1" applyFill="1" applyAlignment="1">
      <alignment horizontal="center"/>
    </xf>
    <xf numFmtId="0" fontId="74" fillId="17" borderId="0" xfId="2" applyFont="1" applyFill="1" applyBorder="1" applyAlignment="1">
      <alignment horizontal="center" vertical="center"/>
    </xf>
    <xf numFmtId="0" fontId="74" fillId="17" borderId="0" xfId="2" applyFont="1" applyFill="1" applyBorder="1" applyAlignment="1">
      <alignment horizontal="center"/>
    </xf>
    <xf numFmtId="0" fontId="71" fillId="17" borderId="0" xfId="0" applyFont="1" applyFill="1" applyAlignment="1">
      <alignment horizontal="center"/>
    </xf>
    <xf numFmtId="0" fontId="72" fillId="17" borderId="0" xfId="0" applyFont="1" applyFill="1" applyAlignment="1">
      <alignment horizontal="center" vertical="center" wrapText="1"/>
    </xf>
    <xf numFmtId="0" fontId="17" fillId="21" borderId="0" xfId="0" applyFont="1" applyFill="1" applyAlignment="1">
      <alignment horizontal="center" vertical="center" wrapText="1"/>
    </xf>
    <xf numFmtId="0" fontId="17" fillId="21" borderId="0" xfId="0" applyFont="1" applyFill="1"/>
    <xf numFmtId="0" fontId="59" fillId="21" borderId="0" xfId="0" applyFont="1" applyFill="1" applyAlignment="1">
      <alignment horizontal="left" vertical="center"/>
    </xf>
    <xf numFmtId="0" fontId="96" fillId="22" borderId="43" xfId="0" applyFont="1" applyFill="1" applyBorder="1" applyAlignment="1">
      <alignment horizontal="center" vertical="center"/>
    </xf>
    <xf numFmtId="0" fontId="98" fillId="22" borderId="43" xfId="0" applyFont="1" applyFill="1" applyBorder="1" applyAlignment="1">
      <alignment horizontal="center" vertical="center" wrapText="1"/>
    </xf>
    <xf numFmtId="9" fontId="80" fillId="22" borderId="39" xfId="0" applyNumberFormat="1" applyFont="1" applyFill="1" applyBorder="1" applyAlignment="1">
      <alignment horizontal="right" vertical="center" wrapText="1"/>
    </xf>
    <xf numFmtId="9" fontId="98" fillId="22" borderId="43" xfId="0" applyNumberFormat="1" applyFont="1" applyFill="1" applyBorder="1" applyAlignment="1">
      <alignment horizontal="center" vertical="center" wrapText="1"/>
    </xf>
    <xf numFmtId="0" fontId="96" fillId="22" borderId="43" xfId="0" applyFont="1" applyFill="1" applyBorder="1" applyAlignment="1">
      <alignment horizontal="center" vertical="center" shrinkToFit="1"/>
    </xf>
    <xf numFmtId="0" fontId="90" fillId="23" borderId="0" xfId="0" applyFont="1" applyFill="1" applyAlignment="1">
      <alignment horizontal="center" vertical="center" shrinkToFit="1"/>
    </xf>
    <xf numFmtId="0" fontId="96" fillId="22" borderId="43" xfId="0" applyFont="1" applyFill="1" applyBorder="1" applyAlignment="1">
      <alignment horizontal="center" shrinkToFit="1"/>
    </xf>
    <xf numFmtId="0" fontId="96" fillId="22" borderId="0" xfId="0" applyFont="1" applyFill="1" applyAlignment="1">
      <alignment horizontal="center" shrinkToFit="1"/>
    </xf>
    <xf numFmtId="0" fontId="90" fillId="22" borderId="51" xfId="0" applyFont="1" applyFill="1" applyBorder="1" applyAlignment="1">
      <alignment horizontal="center" vertical="center" wrapText="1" shrinkToFit="1"/>
    </xf>
    <xf numFmtId="0" fontId="90" fillId="22" borderId="53" xfId="0" applyFont="1" applyFill="1" applyBorder="1" applyAlignment="1">
      <alignment horizontal="center" vertical="center" wrapText="1" shrinkToFit="1"/>
    </xf>
    <xf numFmtId="0" fontId="90" fillId="22" borderId="43" xfId="0" applyFont="1" applyFill="1" applyBorder="1" applyAlignment="1">
      <alignment horizontal="center" shrinkToFit="1"/>
    </xf>
    <xf numFmtId="0" fontId="90" fillId="22" borderId="0" xfId="0" applyFont="1" applyFill="1" applyAlignment="1">
      <alignment horizontal="center" shrinkToFit="1"/>
    </xf>
    <xf numFmtId="0" fontId="90" fillId="22" borderId="51" xfId="0" applyFont="1" applyFill="1" applyBorder="1" applyAlignment="1">
      <alignment horizontal="center" shrinkToFit="1"/>
    </xf>
    <xf numFmtId="171" fontId="80" fillId="22" borderId="0" xfId="0" applyNumberFormat="1" applyFont="1" applyFill="1" applyAlignment="1">
      <alignment horizontal="center" shrinkToFit="1"/>
    </xf>
    <xf numFmtId="171" fontId="80" fillId="22" borderId="51" xfId="0" applyNumberFormat="1" applyFont="1" applyFill="1" applyBorder="1" applyAlignment="1">
      <alignment horizontal="center" shrinkToFit="1"/>
    </xf>
    <xf numFmtId="207" fontId="90" fillId="22" borderId="0" xfId="0" applyNumberFormat="1" applyFont="1" applyFill="1" applyAlignment="1">
      <alignment horizontal="center" shrinkToFit="1"/>
    </xf>
    <xf numFmtId="0" fontId="96" fillId="22" borderId="0" xfId="0" applyFont="1" applyFill="1" applyAlignment="1">
      <alignment horizontal="center" vertical="center" shrinkToFit="1"/>
    </xf>
    <xf numFmtId="0" fontId="90" fillId="22" borderId="49" xfId="0" applyFont="1" applyFill="1" applyBorder="1" applyAlignment="1">
      <alignment horizontal="center" shrinkToFit="1"/>
    </xf>
    <xf numFmtId="0" fontId="90" fillId="22" borderId="39" xfId="0" applyFont="1" applyFill="1" applyBorder="1" applyAlignment="1">
      <alignment horizontal="center" shrinkToFit="1"/>
    </xf>
    <xf numFmtId="0" fontId="90" fillId="22" borderId="47" xfId="0" applyFont="1" applyFill="1" applyBorder="1" applyAlignment="1">
      <alignment horizontal="center" shrinkToFit="1"/>
    </xf>
    <xf numFmtId="0" fontId="96" fillId="22" borderId="49" xfId="0" applyFont="1" applyFill="1" applyBorder="1" applyAlignment="1">
      <alignment horizontal="center" shrinkToFit="1"/>
    </xf>
    <xf numFmtId="0" fontId="96" fillId="22" borderId="39" xfId="0" applyFont="1" applyFill="1" applyBorder="1" applyAlignment="1">
      <alignment horizontal="center" shrinkToFit="1"/>
    </xf>
    <xf numFmtId="0" fontId="96" fillId="22" borderId="47" xfId="0" applyFont="1" applyFill="1" applyBorder="1" applyAlignment="1">
      <alignment horizontal="center" shrinkToFit="1"/>
    </xf>
    <xf numFmtId="181" fontId="80" fillId="22" borderId="0" xfId="0" applyNumberFormat="1" applyFont="1" applyFill="1" applyAlignment="1">
      <alignment horizontal="center" shrinkToFit="1"/>
    </xf>
    <xf numFmtId="0" fontId="80" fillId="22" borderId="51" xfId="0" applyFont="1" applyFill="1" applyBorder="1" applyAlignment="1">
      <alignment horizontal="center" vertical="center" wrapText="1" shrinkToFit="1"/>
    </xf>
    <xf numFmtId="0" fontId="80" fillId="22" borderId="53" xfId="0" applyFont="1" applyFill="1" applyBorder="1" applyAlignment="1">
      <alignment horizontal="center" vertical="center" wrapText="1" shrinkToFit="1"/>
    </xf>
    <xf numFmtId="0" fontId="90" fillId="21" borderId="0" xfId="0" applyFont="1" applyFill="1" applyAlignment="1">
      <alignment horizontal="center" vertical="center" shrinkToFit="1"/>
    </xf>
    <xf numFmtId="0" fontId="90" fillId="21" borderId="51" xfId="0" applyFont="1" applyFill="1" applyBorder="1" applyAlignment="1">
      <alignment horizontal="center" vertical="center" shrinkToFit="1"/>
    </xf>
    <xf numFmtId="0" fontId="101" fillId="21" borderId="0" xfId="0" applyFont="1" applyFill="1" applyAlignment="1">
      <alignment horizontal="left" vertical="center" shrinkToFit="1"/>
    </xf>
    <xf numFmtId="0" fontId="90" fillId="23" borderId="0" xfId="0" applyFont="1" applyFill="1" applyAlignment="1">
      <alignment horizontal="center" shrinkToFit="1"/>
    </xf>
    <xf numFmtId="0" fontId="96" fillId="22" borderId="8" xfId="0" applyFont="1" applyFill="1" applyBorder="1" applyAlignment="1">
      <alignment horizontal="center" vertical="center" shrinkToFit="1"/>
    </xf>
    <xf numFmtId="0" fontId="96" fillId="22" borderId="51" xfId="0" applyFont="1" applyFill="1" applyBorder="1" applyAlignment="1">
      <alignment horizontal="center" vertical="center" shrinkToFit="1"/>
    </xf>
    <xf numFmtId="0" fontId="94" fillId="22" borderId="0" xfId="0" applyFont="1" applyFill="1" applyAlignment="1">
      <alignment horizontal="center" shrinkToFit="1"/>
    </xf>
    <xf numFmtId="0" fontId="94" fillId="22" borderId="51" xfId="0" applyFont="1" applyFill="1" applyBorder="1" applyAlignment="1">
      <alignment horizontal="center" shrinkToFit="1"/>
    </xf>
    <xf numFmtId="181" fontId="90" fillId="21" borderId="55" xfId="0" applyNumberFormat="1" applyFont="1" applyFill="1" applyBorder="1" applyAlignment="1">
      <alignment horizontal="center" vertical="center" shrinkToFit="1"/>
    </xf>
    <xf numFmtId="181" fontId="90" fillId="21" borderId="0" xfId="0" applyNumberFormat="1" applyFont="1" applyFill="1" applyAlignment="1">
      <alignment horizontal="center" vertical="center" shrinkToFit="1"/>
    </xf>
    <xf numFmtId="0" fontId="94" fillId="22" borderId="56" xfId="0" applyFont="1" applyFill="1" applyBorder="1" applyAlignment="1">
      <alignment horizontal="center" shrinkToFit="1"/>
    </xf>
    <xf numFmtId="0" fontId="94" fillId="22" borderId="43" xfId="0" applyFont="1" applyFill="1" applyBorder="1" applyAlignment="1">
      <alignment horizontal="center" shrinkToFit="1"/>
    </xf>
    <xf numFmtId="0" fontId="90" fillId="21" borderId="0" xfId="0" applyFont="1" applyFill="1" applyAlignment="1">
      <alignment horizontal="center" shrinkToFit="1"/>
    </xf>
    <xf numFmtId="207" fontId="90" fillId="22" borderId="49" xfId="0" applyNumberFormat="1" applyFont="1" applyFill="1" applyBorder="1" applyAlignment="1">
      <alignment horizontal="center" vertical="center" shrinkToFit="1"/>
    </xf>
    <xf numFmtId="207" fontId="90" fillId="22" borderId="39" xfId="0" applyNumberFormat="1" applyFont="1" applyFill="1" applyBorder="1" applyAlignment="1">
      <alignment horizontal="center" vertical="center" shrinkToFit="1"/>
    </xf>
    <xf numFmtId="207" fontId="90" fillId="22" borderId="47" xfId="0" applyNumberFormat="1" applyFont="1" applyFill="1" applyBorder="1" applyAlignment="1">
      <alignment horizontal="center" vertical="center" shrinkToFit="1"/>
    </xf>
    <xf numFmtId="0" fontId="90" fillId="22" borderId="58" xfId="0" applyFont="1" applyFill="1" applyBorder="1" applyAlignment="1">
      <alignment horizontal="center" shrinkToFit="1"/>
    </xf>
    <xf numFmtId="0" fontId="90" fillId="22" borderId="50" xfId="0" applyFont="1" applyFill="1" applyBorder="1" applyAlignment="1">
      <alignment horizontal="center" shrinkToFit="1"/>
    </xf>
    <xf numFmtId="0" fontId="90" fillId="22" borderId="32" xfId="0" applyFont="1" applyFill="1" applyBorder="1" applyAlignment="1">
      <alignment horizontal="center" shrinkToFit="1"/>
    </xf>
    <xf numFmtId="0" fontId="96" fillId="22" borderId="53" xfId="0" applyFont="1" applyFill="1" applyBorder="1" applyAlignment="1">
      <alignment horizontal="center" vertical="center" shrinkToFit="1"/>
    </xf>
    <xf numFmtId="0" fontId="94" fillId="22" borderId="53" xfId="0" applyFont="1" applyFill="1" applyBorder="1" applyAlignment="1">
      <alignment horizontal="center" shrinkToFit="1"/>
    </xf>
    <xf numFmtId="0" fontId="90" fillId="22" borderId="33" xfId="0" applyFont="1" applyFill="1" applyBorder="1" applyAlignment="1">
      <alignment horizontal="center" shrinkToFit="1"/>
    </xf>
    <xf numFmtId="181" fontId="80" fillId="22" borderId="0" xfId="0" applyNumberFormat="1" applyFont="1" applyFill="1" applyAlignment="1">
      <alignment horizontal="right" shrinkToFit="1"/>
    </xf>
    <xf numFmtId="181" fontId="80" fillId="22" borderId="33" xfId="0" applyNumberFormat="1" applyFont="1" applyFill="1" applyBorder="1" applyAlignment="1">
      <alignment horizontal="right" shrinkToFit="1"/>
    </xf>
    <xf numFmtId="0" fontId="90" fillId="22" borderId="57" xfId="0" applyFont="1" applyFill="1" applyBorder="1" applyAlignment="1">
      <alignment horizontal="center" shrinkToFit="1"/>
    </xf>
    <xf numFmtId="181" fontId="90" fillId="21" borderId="59" xfId="0" applyNumberFormat="1" applyFont="1" applyFill="1" applyBorder="1" applyAlignment="1">
      <alignment horizontal="center" vertical="center" shrinkToFit="1"/>
    </xf>
    <xf numFmtId="0" fontId="90" fillId="22" borderId="53" xfId="0" applyFont="1" applyFill="1" applyBorder="1" applyAlignment="1">
      <alignment horizontal="center" shrinkToFit="1"/>
    </xf>
    <xf numFmtId="0" fontId="90" fillId="22" borderId="55" xfId="0" applyFont="1" applyFill="1" applyBorder="1" applyAlignment="1">
      <alignment horizontal="center" shrinkToFit="1"/>
    </xf>
    <xf numFmtId="0" fontId="90" fillId="23" borderId="0" xfId="0" applyFont="1" applyFill="1" applyAlignment="1">
      <alignment horizontal="left" shrinkToFit="1"/>
    </xf>
    <xf numFmtId="0" fontId="90" fillId="18" borderId="0" xfId="0" applyFont="1" applyFill="1" applyAlignment="1">
      <alignment horizontal="center" shrinkToFit="1"/>
    </xf>
    <xf numFmtId="170" fontId="80" fillId="22" borderId="0" xfId="0" applyNumberFormat="1" applyFont="1" applyFill="1" applyAlignment="1">
      <alignment horizontal="right" shrinkToFit="1"/>
    </xf>
    <xf numFmtId="170" fontId="80" fillId="22" borderId="51" xfId="0" applyNumberFormat="1" applyFont="1" applyFill="1" applyBorder="1" applyAlignment="1">
      <alignment horizontal="right" shrinkToFit="1"/>
    </xf>
    <xf numFmtId="181" fontId="80" fillId="22" borderId="57" xfId="0" applyNumberFormat="1" applyFont="1" applyFill="1" applyBorder="1" applyAlignment="1">
      <alignment horizontal="right" vertical="top" shrinkToFit="1"/>
    </xf>
    <xf numFmtId="182" fontId="96" fillId="22" borderId="56" xfId="0" applyNumberFormat="1" applyFont="1" applyFill="1" applyBorder="1" applyAlignment="1">
      <alignment horizontal="center" shrinkToFit="1"/>
    </xf>
    <xf numFmtId="182" fontId="96" fillId="22" borderId="43" xfId="0" applyNumberFormat="1" applyFont="1" applyFill="1" applyBorder="1" applyAlignment="1">
      <alignment horizontal="center" shrinkToFit="1"/>
    </xf>
    <xf numFmtId="182" fontId="96" fillId="22" borderId="53" xfId="0" applyNumberFormat="1" applyFont="1" applyFill="1" applyBorder="1" applyAlignment="1">
      <alignment horizontal="center" shrinkToFit="1"/>
    </xf>
    <xf numFmtId="181" fontId="90" fillId="22" borderId="0" xfId="0" applyNumberFormat="1" applyFont="1" applyFill="1" applyAlignment="1">
      <alignment horizontal="center" vertical="center" shrinkToFit="1"/>
    </xf>
    <xf numFmtId="182" fontId="90" fillId="22" borderId="58" xfId="0" applyNumberFormat="1" applyFont="1" applyFill="1" applyBorder="1" applyAlignment="1">
      <alignment horizontal="center" shrinkToFit="1"/>
    </xf>
    <xf numFmtId="182" fontId="90" fillId="22" borderId="50" xfId="0" applyNumberFormat="1" applyFont="1" applyFill="1" applyBorder="1" applyAlignment="1">
      <alignment horizontal="center" shrinkToFit="1"/>
    </xf>
    <xf numFmtId="170" fontId="90" fillId="22" borderId="39" xfId="0" applyNumberFormat="1" applyFont="1" applyFill="1" applyBorder="1" applyAlignment="1">
      <alignment horizontal="center" shrinkToFit="1"/>
    </xf>
    <xf numFmtId="170" fontId="90" fillId="22" borderId="47" xfId="0" applyNumberFormat="1" applyFont="1" applyFill="1" applyBorder="1" applyAlignment="1">
      <alignment horizontal="center" shrinkToFit="1"/>
    </xf>
    <xf numFmtId="170" fontId="80" fillId="22" borderId="57" xfId="0" applyNumberFormat="1" applyFont="1" applyFill="1" applyBorder="1" applyAlignment="1">
      <alignment horizontal="center" vertical="top" shrinkToFit="1"/>
    </xf>
    <xf numFmtId="181" fontId="90" fillId="22" borderId="49" xfId="0" applyNumberFormat="1" applyFont="1" applyFill="1" applyBorder="1" applyAlignment="1">
      <alignment horizontal="center" vertical="center" shrinkToFit="1"/>
    </xf>
    <xf numFmtId="181" fontId="90" fillId="22" borderId="39" xfId="0" applyNumberFormat="1" applyFont="1" applyFill="1" applyBorder="1" applyAlignment="1">
      <alignment horizontal="center" vertical="center" shrinkToFit="1"/>
    </xf>
    <xf numFmtId="181" fontId="90" fillId="22" borderId="47" xfId="0" applyNumberFormat="1" applyFont="1" applyFill="1" applyBorder="1" applyAlignment="1">
      <alignment horizontal="center" vertical="center" shrinkToFit="1"/>
    </xf>
    <xf numFmtId="0" fontId="98" fillId="22" borderId="51" xfId="0" applyFont="1" applyFill="1" applyBorder="1" applyAlignment="1">
      <alignment horizontal="center" vertical="center" wrapText="1" shrinkToFit="1"/>
    </xf>
    <xf numFmtId="0" fontId="98" fillId="22" borderId="53" xfId="0" applyFont="1" applyFill="1" applyBorder="1" applyAlignment="1">
      <alignment horizontal="center" vertical="center" wrapText="1" shrinkToFit="1"/>
    </xf>
    <xf numFmtId="0" fontId="90" fillId="22" borderId="51" xfId="0" applyFont="1" applyFill="1" applyBorder="1" applyAlignment="1">
      <alignment horizontal="center" vertical="center" shrinkToFit="1"/>
    </xf>
    <xf numFmtId="0" fontId="96" fillId="22" borderId="53" xfId="0" applyFont="1" applyFill="1" applyBorder="1" applyAlignment="1">
      <alignment horizontal="center" shrinkToFit="1"/>
    </xf>
    <xf numFmtId="0" fontId="90" fillId="22" borderId="53" xfId="0" applyFont="1" applyFill="1" applyBorder="1" applyAlignment="1">
      <alignment horizontal="center" vertical="center" shrinkToFit="1"/>
    </xf>
    <xf numFmtId="170" fontId="96" fillId="22" borderId="39" xfId="0" applyNumberFormat="1" applyFont="1" applyFill="1" applyBorder="1" applyAlignment="1">
      <alignment horizontal="center" shrinkToFit="1"/>
    </xf>
    <xf numFmtId="171" fontId="80" fillId="22" borderId="0" xfId="0" applyNumberFormat="1" applyFont="1" applyFill="1" applyAlignment="1">
      <alignment horizontal="center" vertical="center" shrinkToFit="1"/>
    </xf>
    <xf numFmtId="171" fontId="80" fillId="22" borderId="51" xfId="0" applyNumberFormat="1" applyFont="1" applyFill="1" applyBorder="1" applyAlignment="1">
      <alignment horizontal="center" vertical="center" shrinkToFit="1"/>
    </xf>
    <xf numFmtId="171" fontId="80" fillId="22" borderId="0" xfId="0" applyNumberFormat="1" applyFont="1" applyFill="1" applyAlignment="1">
      <alignment horizontal="center" vertical="top" shrinkToFit="1"/>
    </xf>
    <xf numFmtId="0" fontId="80" fillId="21" borderId="0" xfId="0" applyFont="1" applyFill="1" applyAlignment="1">
      <alignment horizontal="center" vertical="center" wrapText="1" shrinkToFit="1"/>
    </xf>
    <xf numFmtId="0" fontId="90" fillId="22" borderId="0" xfId="0" applyFont="1" applyFill="1" applyAlignment="1">
      <alignment horizontal="center" vertical="center" shrinkToFit="1"/>
    </xf>
    <xf numFmtId="188" fontId="90" fillId="22" borderId="0" xfId="0" applyNumberFormat="1" applyFont="1" applyFill="1" applyAlignment="1">
      <alignment horizontal="center" shrinkToFit="1"/>
    </xf>
    <xf numFmtId="182" fontId="90" fillId="22" borderId="0" xfId="0" applyNumberFormat="1" applyFont="1" applyFill="1" applyAlignment="1">
      <alignment horizontal="center" shrinkToFit="1"/>
    </xf>
    <xf numFmtId="169" fontId="90" fillId="22" borderId="0" xfId="0" applyNumberFormat="1" applyFont="1" applyFill="1" applyAlignment="1">
      <alignment horizontal="center" shrinkToFit="1"/>
    </xf>
    <xf numFmtId="186" fontId="90" fillId="22" borderId="0" xfId="0" applyNumberFormat="1" applyFont="1" applyFill="1" applyAlignment="1">
      <alignment horizontal="center" shrinkToFit="1"/>
    </xf>
    <xf numFmtId="189" fontId="90" fillId="22" borderId="0" xfId="0" applyNumberFormat="1" applyFont="1" applyFill="1" applyAlignment="1">
      <alignment horizontal="center" shrinkToFit="1"/>
    </xf>
    <xf numFmtId="0" fontId="90" fillId="22" borderId="55" xfId="0" applyFont="1" applyFill="1" applyBorder="1" applyAlignment="1">
      <alignment horizontal="center" vertical="center" shrinkToFit="1"/>
    </xf>
    <xf numFmtId="0" fontId="96" fillId="22" borderId="39" xfId="0" applyFont="1" applyFill="1" applyBorder="1" applyAlignment="1">
      <alignment horizontal="center" vertical="center" shrinkToFit="1"/>
    </xf>
    <xf numFmtId="0" fontId="80" fillId="22" borderId="0" xfId="0" applyFont="1" applyFill="1" applyAlignment="1">
      <alignment horizontal="center" vertical="center" shrinkToFit="1"/>
    </xf>
    <xf numFmtId="0" fontId="114" fillId="22" borderId="61" xfId="0" applyFont="1" applyFill="1" applyBorder="1" applyAlignment="1">
      <alignment horizontal="center" shrinkToFit="1"/>
    </xf>
    <xf numFmtId="0" fontId="114" fillId="22" borderId="62" xfId="0" applyFont="1" applyFill="1" applyBorder="1" applyAlignment="1">
      <alignment horizontal="center" shrinkToFit="1"/>
    </xf>
    <xf numFmtId="0" fontId="106" fillId="23" borderId="0" xfId="0" applyFont="1" applyFill="1" applyAlignment="1">
      <alignment horizontal="center" vertical="center" shrinkToFit="1"/>
    </xf>
    <xf numFmtId="0" fontId="114" fillId="22" borderId="43" xfId="0" applyFont="1" applyFill="1" applyBorder="1" applyAlignment="1">
      <alignment horizontal="center" shrinkToFit="1"/>
    </xf>
    <xf numFmtId="0" fontId="80" fillId="21" borderId="31" xfId="0" applyFont="1" applyFill="1" applyBorder="1" applyAlignment="1">
      <alignment horizontal="center" vertical="center" shrinkToFit="1"/>
    </xf>
    <xf numFmtId="0" fontId="106" fillId="18" borderId="0" xfId="0" applyFont="1" applyFill="1" applyAlignment="1">
      <alignment horizontal="center" shrinkToFit="1"/>
    </xf>
    <xf numFmtId="0" fontId="114" fillId="22" borderId="0" xfId="0" applyFont="1" applyFill="1" applyAlignment="1">
      <alignment horizontal="center" shrinkToFit="1"/>
    </xf>
    <xf numFmtId="0" fontId="114" fillId="22" borderId="43" xfId="0" applyFont="1" applyFill="1" applyBorder="1" applyAlignment="1">
      <alignment horizontal="center" vertical="center" shrinkToFit="1"/>
    </xf>
    <xf numFmtId="0" fontId="114" fillId="22" borderId="0" xfId="0" applyFont="1" applyFill="1" applyAlignment="1">
      <alignment horizontal="center" vertical="center" shrinkToFit="1"/>
    </xf>
    <xf numFmtId="0" fontId="109" fillId="22" borderId="43" xfId="0" applyFont="1" applyFill="1" applyBorder="1" applyAlignment="1">
      <alignment horizontal="center" shrinkToFit="1"/>
    </xf>
    <xf numFmtId="171" fontId="90" fillId="22" borderId="0" xfId="0" applyNumberFormat="1" applyFont="1" applyFill="1" applyAlignment="1">
      <alignment horizontal="left" vertical="center" shrinkToFit="1"/>
    </xf>
    <xf numFmtId="0" fontId="90" fillId="22" borderId="0" xfId="0" applyFont="1" applyFill="1" applyAlignment="1">
      <alignment horizontal="center" vertical="top" shrinkToFit="1"/>
    </xf>
    <xf numFmtId="0" fontId="80" fillId="21" borderId="0" xfId="0" applyFont="1" applyFill="1" applyAlignment="1">
      <alignment horizontal="center" wrapText="1" shrinkToFit="1"/>
    </xf>
    <xf numFmtId="0" fontId="90" fillId="22" borderId="51" xfId="0" applyFont="1" applyFill="1" applyBorder="1" applyAlignment="1">
      <alignment horizontal="center" vertical="top" shrinkToFit="1"/>
    </xf>
    <xf numFmtId="0" fontId="80" fillId="22" borderId="0" xfId="0" applyFont="1" applyFill="1" applyAlignment="1">
      <alignment horizontal="center" vertical="center"/>
    </xf>
    <xf numFmtId="0" fontId="80" fillId="22" borderId="43" xfId="0" applyFont="1" applyFill="1" applyBorder="1" applyAlignment="1">
      <alignment horizontal="center" vertical="center"/>
    </xf>
    <xf numFmtId="0" fontId="80" fillId="22" borderId="39" xfId="0" applyFont="1" applyFill="1" applyBorder="1" applyAlignment="1">
      <alignment horizontal="center" vertical="center"/>
    </xf>
    <xf numFmtId="0" fontId="90" fillId="23" borderId="0" xfId="0" applyFont="1" applyFill="1" applyAlignment="1">
      <alignment horizontal="left" vertical="center" indent="1"/>
    </xf>
    <xf numFmtId="0" fontId="6" fillId="4" borderId="1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textRotation="90"/>
    </xf>
    <xf numFmtId="0" fontId="6" fillId="4" borderId="3" xfId="0" applyFont="1" applyFill="1" applyBorder="1" applyAlignment="1">
      <alignment horizontal="center" textRotation="90"/>
    </xf>
    <xf numFmtId="0" fontId="6" fillId="4" borderId="68" xfId="0" applyFont="1" applyFill="1" applyBorder="1" applyAlignment="1">
      <alignment horizontal="center" textRotation="90"/>
    </xf>
    <xf numFmtId="0" fontId="6" fillId="4" borderId="4" xfId="0" applyFont="1" applyFill="1" applyBorder="1" applyAlignment="1">
      <alignment horizontal="center" textRotation="90"/>
    </xf>
    <xf numFmtId="0" fontId="14" fillId="4" borderId="15" xfId="0" applyFont="1" applyFill="1" applyBorder="1" applyAlignment="1">
      <alignment horizontal="center" textRotation="90"/>
    </xf>
    <xf numFmtId="0" fontId="14" fillId="4" borderId="16" xfId="0" applyFont="1" applyFill="1" applyBorder="1" applyAlignment="1">
      <alignment horizontal="center" textRotation="90"/>
    </xf>
    <xf numFmtId="0" fontId="2" fillId="6" borderId="0" xfId="0" applyFont="1" applyFill="1" applyAlignment="1">
      <alignment horizontal="left"/>
    </xf>
    <xf numFmtId="0" fontId="8" fillId="5" borderId="7" xfId="0" applyFont="1" applyFill="1" applyBorder="1" applyAlignment="1">
      <alignment horizontal="center"/>
    </xf>
    <xf numFmtId="0" fontId="19" fillId="3" borderId="1" xfId="0" applyFont="1" applyFill="1" applyBorder="1"/>
    <xf numFmtId="0" fontId="2" fillId="2" borderId="1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6" fillId="6" borderId="9" xfId="0" applyFont="1" applyFill="1" applyBorder="1" applyAlignment="1">
      <alignment horizontal="center"/>
    </xf>
    <xf numFmtId="0" fontId="26" fillId="6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7" fillId="2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7" fillId="5" borderId="2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5" borderId="6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64" xfId="0" applyFont="1" applyFill="1" applyBorder="1" applyAlignment="1">
      <alignment horizontal="center"/>
    </xf>
    <xf numFmtId="0" fontId="22" fillId="5" borderId="26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34" fillId="2" borderId="26" xfId="0" applyFont="1" applyFill="1" applyBorder="1" applyAlignment="1">
      <alignment horizontal="center"/>
    </xf>
    <xf numFmtId="0" fontId="34" fillId="2" borderId="0" xfId="0" applyFont="1" applyFill="1" applyAlignment="1">
      <alignment horizontal="center"/>
    </xf>
    <xf numFmtId="0" fontId="33" fillId="16" borderId="26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  <xf numFmtId="171" fontId="22" fillId="3" borderId="26" xfId="0" applyNumberFormat="1" applyFont="1" applyFill="1" applyBorder="1" applyAlignment="1">
      <alignment horizontal="center" vertical="center"/>
    </xf>
    <xf numFmtId="0" fontId="2" fillId="5" borderId="63" xfId="0" applyFont="1" applyFill="1" applyBorder="1" applyAlignment="1">
      <alignment horizontal="center"/>
    </xf>
    <xf numFmtId="0" fontId="32" fillId="16" borderId="26" xfId="0" applyFont="1" applyFill="1" applyBorder="1" applyAlignment="1">
      <alignment horizontal="center" vertical="center"/>
    </xf>
    <xf numFmtId="0" fontId="33" fillId="16" borderId="65" xfId="0" applyFont="1" applyFill="1" applyBorder="1" applyAlignment="1">
      <alignment horizontal="center"/>
    </xf>
    <xf numFmtId="0" fontId="32" fillId="16" borderId="5" xfId="0" applyFont="1" applyFill="1" applyBorder="1" applyAlignment="1">
      <alignment horizontal="center" vertical="center"/>
    </xf>
    <xf numFmtId="0" fontId="32" fillId="16" borderId="6" xfId="0" applyFont="1" applyFill="1" applyBorder="1" applyAlignment="1">
      <alignment horizontal="center" vertical="center"/>
    </xf>
    <xf numFmtId="0" fontId="32" fillId="16" borderId="65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/>
    </xf>
    <xf numFmtId="0" fontId="52" fillId="2" borderId="0" xfId="0" applyFont="1" applyFill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32" fillId="2" borderId="0" xfId="0" applyFont="1" applyFill="1" applyAlignment="1">
      <alignment horizontal="center" vertical="center"/>
    </xf>
    <xf numFmtId="210" fontId="22" fillId="3" borderId="26" xfId="0" applyNumberFormat="1" applyFont="1" applyFill="1" applyBorder="1" applyAlignment="1">
      <alignment horizontal="center" vertical="center"/>
    </xf>
    <xf numFmtId="0" fontId="2" fillId="14" borderId="26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Porcentagem" xfId="1" builtinId="5"/>
  </cellStyles>
  <dxfs count="51"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ill>
        <patternFill>
          <bgColor rgb="FFFD3F0B"/>
        </patternFill>
      </fill>
    </dxf>
    <dxf>
      <fill>
        <patternFill>
          <bgColor rgb="FFFD3F0B"/>
        </patternFill>
      </fill>
    </dxf>
    <dxf>
      <fill>
        <patternFill>
          <bgColor rgb="FFFD3F0B"/>
        </patternFill>
      </fill>
    </dxf>
    <dxf>
      <fill>
        <patternFill>
          <bgColor rgb="FFFD3F0B"/>
        </patternFill>
      </fill>
    </dxf>
    <dxf>
      <font>
        <color theme="1"/>
      </font>
      <fill>
        <patternFill>
          <bgColor rgb="FF00FA65"/>
        </patternFill>
      </fill>
    </dxf>
    <dxf>
      <font>
        <color theme="1"/>
      </font>
      <fill>
        <patternFill>
          <bgColor rgb="FFFF0D35"/>
        </patternFill>
      </fill>
    </dxf>
    <dxf>
      <font>
        <strike val="0"/>
        <color theme="0"/>
      </font>
      <fill>
        <patternFill>
          <bgColor rgb="FF00FA65"/>
        </patternFill>
      </fill>
    </dxf>
    <dxf>
      <font>
        <color theme="0"/>
      </font>
      <fill>
        <patternFill>
          <bgColor rgb="FFFF0D35"/>
        </patternFill>
      </fill>
    </dxf>
    <dxf>
      <font>
        <strike val="0"/>
        <color theme="0"/>
      </font>
      <fill>
        <patternFill>
          <bgColor rgb="FF00FA65"/>
        </patternFill>
      </fill>
    </dxf>
    <dxf>
      <font>
        <color theme="0"/>
      </font>
      <fill>
        <patternFill>
          <bgColor rgb="FFFF0D35"/>
        </patternFill>
      </fill>
    </dxf>
    <dxf>
      <font>
        <strike val="0"/>
        <color theme="0"/>
      </font>
      <fill>
        <patternFill>
          <bgColor rgb="FF00FA65"/>
        </patternFill>
      </fill>
    </dxf>
    <dxf>
      <font>
        <color theme="0"/>
      </font>
      <fill>
        <patternFill>
          <bgColor rgb="FFFF0D35"/>
        </patternFill>
      </fill>
    </dxf>
    <dxf>
      <font>
        <strike val="0"/>
        <color theme="0"/>
      </font>
      <fill>
        <patternFill>
          <bgColor rgb="FF00FA65"/>
        </patternFill>
      </fill>
    </dxf>
    <dxf>
      <font>
        <color theme="0"/>
      </font>
      <fill>
        <patternFill>
          <bgColor rgb="FFFF0D35"/>
        </patternFill>
      </fill>
    </dxf>
    <dxf>
      <font>
        <strike val="0"/>
        <color theme="0"/>
      </font>
      <fill>
        <patternFill>
          <bgColor rgb="FF00FA65"/>
        </patternFill>
      </fill>
    </dxf>
    <dxf>
      <font>
        <color theme="0"/>
      </font>
      <fill>
        <patternFill>
          <bgColor rgb="FFFF0D35"/>
        </patternFill>
      </fill>
    </dxf>
    <dxf>
      <font>
        <color rgb="FF19D2F7"/>
      </font>
    </dxf>
    <dxf>
      <font>
        <color rgb="FFFCD904"/>
      </font>
    </dxf>
    <dxf>
      <font>
        <color rgb="FFFF2F43"/>
      </font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D2125"/>
      </font>
      <fill>
        <patternFill>
          <bgColor rgb="FF8CE200"/>
        </patternFill>
      </fill>
    </dxf>
    <dxf>
      <font>
        <color theme="0"/>
      </font>
      <fill>
        <patternFill>
          <bgColor rgb="FFFF3333"/>
        </patternFill>
      </fill>
    </dxf>
    <dxf>
      <font>
        <color rgb="FF19D2F7"/>
      </font>
    </dxf>
    <dxf>
      <font>
        <color rgb="FFFCD904"/>
      </font>
    </dxf>
    <dxf>
      <font>
        <color rgb="FFFF2F43"/>
      </font>
    </dxf>
    <dxf>
      <font>
        <color theme="0"/>
      </font>
      <fill>
        <patternFill>
          <bgColor rgb="FFFF0D35"/>
        </patternFill>
      </fill>
    </dxf>
  </dxfs>
  <tableStyles count="0" defaultTableStyle="TableStyleMedium2" defaultPivotStyle="PivotStyleLight16"/>
  <colors>
    <mruColors>
      <color rgb="FF322E22"/>
      <color rgb="FF504936"/>
      <color rgb="FF252219"/>
      <color rgb="FF191711"/>
      <color rgb="FFD9D9D9"/>
      <color rgb="FF23100F"/>
      <color rgb="FF393427"/>
      <color rgb="FFFD3F0B"/>
      <color rgb="FF0B0C0D"/>
      <color rgb="FF1D21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18900000" scaled="1"/>
              </a:gra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5D-4021-AEE8-9DB657B42AB8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5D-4021-AEE8-9DB657B42AB8}"/>
              </c:ext>
            </c:extLst>
          </c:dPt>
          <c:val>
            <c:numRef>
              <c:f>AXD!$J$27:$K$27</c:f>
              <c:numCache>
                <c:formatCode>0%</c:formatCode>
                <c:ptCount val="2"/>
                <c:pt idx="0">
                  <c:v>0.58873542423445457</c:v>
                </c:pt>
                <c:pt idx="1">
                  <c:v>0.41126457576554543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5D-4021-AEE8-9DB657B42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28789275781341"/>
          <c:y val="0.12847360621025294"/>
          <c:w val="0.78797433533293115"/>
          <c:h val="0.74305278757949411"/>
        </c:manualLayout>
      </c:layout>
      <c:doughnutChart>
        <c:varyColors val="1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dPt>
            <c:idx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18900000" scaled="1"/>
              </a:gra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061-4452-8E2A-8590EB40A911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061-4452-8E2A-8590EB40A911}"/>
              </c:ext>
            </c:extLst>
          </c:dPt>
          <c:val>
            <c:numRef>
              <c:f>AXD!$J$19:$K$19</c:f>
              <c:numCache>
                <c:formatCode>0%</c:formatCode>
                <c:ptCount val="2"/>
                <c:pt idx="0">
                  <c:v>1.5780512250308603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61-4452-8E2A-8590EB40A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EABD00"/>
            </a:solidFill>
            <a:ln>
              <a:noFill/>
            </a:ln>
          </c:spPr>
          <c:dPt>
            <c:idx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18900000" scaled="1"/>
              </a:gra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F2-4912-8FB4-C8F89A97A6C9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7F2-4912-8FB4-C8F89A97A6C9}"/>
              </c:ext>
            </c:extLst>
          </c:dPt>
          <c:val>
            <c:numRef>
              <c:f>AXD!$J$42:$K$42</c:f>
              <c:numCache>
                <c:formatCode>0%</c:formatCode>
                <c:ptCount val="2"/>
                <c:pt idx="0">
                  <c:v>1.2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F2-4912-8FB4-C8F89A97A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607276207456176E-2"/>
          <c:y val="0.38735459953643669"/>
          <c:w val="0.91678483279976153"/>
          <c:h val="0.38393840828972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AXD!$AA$40</c:f>
              <c:strCache>
                <c:ptCount val="1"/>
                <c:pt idx="0">
                  <c:v>Telha</c:v>
                </c:pt>
              </c:strCache>
            </c:strRef>
          </c:tx>
          <c:spPr>
            <a:solidFill>
              <a:srgbClr val="F637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3208653305293088E-18"/>
                  <c:y val="-0.2078424676090193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C0-4475-9F72-BFD449859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AXD!$AC$40</c:f>
              <c:numCache>
                <c:formatCode>0.00%</c:formatCode>
                <c:ptCount val="1"/>
                <c:pt idx="0">
                  <c:v>6.0905610526697011E-2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C0-4475-9F72-BFD4498597FD}"/>
            </c:ext>
          </c:extLst>
        </c:ser>
        <c:ser>
          <c:idx val="1"/>
          <c:order val="1"/>
          <c:tx>
            <c:strRef>
              <c:f>AXD!$AA$41</c:f>
              <c:strCache>
                <c:ptCount val="1"/>
                <c:pt idx="0">
                  <c:v>Ripa</c:v>
                </c:pt>
              </c:strCache>
            </c:strRef>
          </c:tx>
          <c:spPr>
            <a:solidFill>
              <a:srgbClr val="FC690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1133845288468941E-17"/>
                  <c:y val="-0.2078424676090193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C0-4475-9F72-BFD449859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AXD!$AC$41</c:f>
              <c:numCache>
                <c:formatCode>0.00%</c:formatCode>
                <c:ptCount val="1"/>
                <c:pt idx="0">
                  <c:v>0.37439105666544886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C0-4475-9F72-BFD4498597FD}"/>
            </c:ext>
          </c:extLst>
        </c:ser>
        <c:ser>
          <c:idx val="2"/>
          <c:order val="2"/>
          <c:tx>
            <c:strRef>
              <c:f>AXD!$AA$42</c:f>
              <c:strCache>
                <c:ptCount val="1"/>
                <c:pt idx="0">
                  <c:v>Caibro</c:v>
                </c:pt>
              </c:strCache>
            </c:strRef>
          </c:tx>
          <c:spPr>
            <a:solidFill>
              <a:srgbClr val="00405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4535381153875765E-17"/>
                  <c:y val="-0.2078424676090193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C0-4475-9F72-BFD449859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AXD!$AC$42</c:f>
              <c:numCache>
                <c:formatCode>0.00%</c:formatCode>
                <c:ptCount val="1"/>
                <c:pt idx="0">
                  <c:v>0.24663896298729818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C0-4475-9F72-BFD4498597FD}"/>
            </c:ext>
          </c:extLst>
        </c:ser>
        <c:ser>
          <c:idx val="3"/>
          <c:order val="3"/>
          <c:tx>
            <c:strRef>
              <c:f>AXD!$AA$43</c:f>
              <c:strCache>
                <c:ptCount val="1"/>
                <c:pt idx="0">
                  <c:v>Terça</c:v>
                </c:pt>
              </c:strCache>
            </c:strRef>
          </c:tx>
          <c:spPr>
            <a:solidFill>
              <a:srgbClr val="017E8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4535381153875765E-17"/>
                  <c:y val="-0.2078424676090193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C0-4475-9F72-BFD449859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AXD!$AC$43</c:f>
              <c:numCache>
                <c:formatCode>0.00%</c:formatCode>
                <c:ptCount val="1"/>
                <c:pt idx="0">
                  <c:v>0.1497564226661795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FC0-4475-9F72-BFD4498597FD}"/>
            </c:ext>
          </c:extLst>
        </c:ser>
        <c:ser>
          <c:idx val="4"/>
          <c:order val="4"/>
          <c:tx>
            <c:strRef>
              <c:f>AXD!$AA$44</c:f>
              <c:strCache>
                <c:ptCount val="1"/>
                <c:pt idx="0">
                  <c:v>Treliça</c:v>
                </c:pt>
              </c:strCache>
            </c:strRef>
          </c:tx>
          <c:spPr>
            <a:solidFill>
              <a:srgbClr val="00B9BC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0.2078424676090193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FC0-4475-9F72-BFD449859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effectLst/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AXD!$AC$44</c:f>
              <c:numCache>
                <c:formatCode>0.00%</c:formatCode>
                <c:ptCount val="1"/>
                <c:pt idx="0">
                  <c:v>0.16830794715437633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FC0-4475-9F72-BFD4498597F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59864127"/>
        <c:axId val="359864543"/>
      </c:barChart>
      <c:catAx>
        <c:axId val="359864127"/>
        <c:scaling>
          <c:orientation val="minMax"/>
        </c:scaling>
        <c:delete val="1"/>
        <c:axPos val="l"/>
        <c:numFmt formatCode="&quot;R$&quot;#,##0.00_);\(&quot;R$&quot;#,##0.00\)" sourceLinked="1"/>
        <c:majorTickMark val="out"/>
        <c:minorTickMark val="none"/>
        <c:tickLblPos val="nextTo"/>
        <c:crossAx val="359864543"/>
        <c:crosses val="autoZero"/>
        <c:auto val="1"/>
        <c:lblAlgn val="ctr"/>
        <c:lblOffset val="100"/>
        <c:noMultiLvlLbl val="0"/>
      </c:catAx>
      <c:valAx>
        <c:axId val="359864543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359864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9691717504656783E-2"/>
          <c:y val="0.68364857073471319"/>
          <c:w val="0.91742102627188526"/>
          <c:h val="0.235832799635544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bg1"/>
          </a:solidFill>
          <a:latin typeface="Segoe UI Semibold" panose="020B0702040204020203" pitchFamily="34" charset="0"/>
          <a:cs typeface="Segoe UI Semibold" panose="020B0702040204020203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EABD00"/>
            </a:solidFill>
            <a:ln>
              <a:noFill/>
            </a:ln>
          </c:spPr>
          <c:dPt>
            <c:idx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18900000" scaled="1"/>
              </a:gra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03-4616-A822-7FE7C2507EE5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03-4616-A822-7FE7C2507EE5}"/>
              </c:ext>
            </c:extLst>
          </c:dPt>
          <c:val>
            <c:numRef>
              <c:f>AXD!$J$10:$K$10</c:f>
              <c:numCache>
                <c:formatCode>0%</c:formatCode>
                <c:ptCount val="2"/>
                <c:pt idx="0">
                  <c:v>1.5192691442471109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03-4616-A822-7FE7C2507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18900000" scaled="1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2F-4B0F-AE5F-A9D257C31389}"/>
              </c:ext>
            </c:extLst>
          </c:dPt>
          <c:val>
            <c:numRef>
              <c:f>AXD!$J$6</c:f>
              <c:numCache>
                <c:formatCode>0%</c:formatCode>
                <c:ptCount val="1"/>
                <c:pt idx="0">
                  <c:v>0.84282119988771009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7-4881-8471-6130FEEA4D44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AXD!$K$6</c:f>
              <c:numCache>
                <c:formatCode>0%</c:formatCode>
                <c:ptCount val="1"/>
                <c:pt idx="0">
                  <c:v>0.15717880011228991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7-4881-8471-6130FEEA4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80159"/>
        <c:axId val="2083668095"/>
      </c:barChart>
      <c:catAx>
        <c:axId val="20836801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83668095"/>
        <c:crosses val="autoZero"/>
        <c:auto val="1"/>
        <c:lblAlgn val="ctr"/>
        <c:lblOffset val="100"/>
        <c:noMultiLvlLbl val="0"/>
      </c:catAx>
      <c:valAx>
        <c:axId val="2083668095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2083680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607-4C58-A820-02CA03BE1736}"/>
              </c:ext>
            </c:extLst>
          </c:dPt>
          <c:val>
            <c:numRef>
              <c:f>AXD!$J$7</c:f>
              <c:numCache>
                <c:formatCode>0%</c:formatCode>
                <c:ptCount val="1"/>
                <c:pt idx="0">
                  <c:v>0.15528587225279575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9-4AC6-B2E8-D96F86DC730E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AXD!$K$7</c:f>
              <c:numCache>
                <c:formatCode>0%</c:formatCode>
                <c:ptCount val="1"/>
                <c:pt idx="0">
                  <c:v>0.84471412774720422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69-4AC6-B2E8-D96F86DC7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80159"/>
        <c:axId val="2083668095"/>
      </c:barChart>
      <c:catAx>
        <c:axId val="20836801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83668095"/>
        <c:crosses val="autoZero"/>
        <c:auto val="1"/>
        <c:lblAlgn val="ctr"/>
        <c:lblOffset val="100"/>
        <c:noMultiLvlLbl val="0"/>
      </c:catAx>
      <c:valAx>
        <c:axId val="2083668095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2083680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AXD!$J$8</c:f>
              <c:numCache>
                <c:formatCode>0%</c:formatCode>
                <c:ptCount val="1"/>
                <c:pt idx="0">
                  <c:v>1.5192691442471109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A4-48F0-9B2E-1B3E52FF6760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A4-48F0-9B2E-1B3E52FF6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80159"/>
        <c:axId val="2083668095"/>
      </c:barChart>
      <c:catAx>
        <c:axId val="20836801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83668095"/>
        <c:crosses val="autoZero"/>
        <c:auto val="1"/>
        <c:lblAlgn val="ctr"/>
        <c:lblOffset val="100"/>
        <c:noMultiLvlLbl val="0"/>
      </c:catAx>
      <c:valAx>
        <c:axId val="2083668095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2083680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AXD!$J$9</c:f>
              <c:numCache>
                <c:formatCode>0%</c:formatCode>
                <c:ptCount val="1"/>
                <c:pt idx="0">
                  <c:v>3.3968784555299066E-2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7-414E-9124-7C3B9594C4D6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AXD!$K$9</c:f>
              <c:numCache>
                <c:formatCode>0%</c:formatCode>
                <c:ptCount val="1"/>
                <c:pt idx="0">
                  <c:v>0.96603121544470094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77-414E-9124-7C3B9594C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80159"/>
        <c:axId val="2083668095"/>
      </c:barChart>
      <c:catAx>
        <c:axId val="20836801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83668095"/>
        <c:crosses val="autoZero"/>
        <c:auto val="1"/>
        <c:lblAlgn val="ctr"/>
        <c:lblOffset val="100"/>
        <c:noMultiLvlLbl val="0"/>
      </c:catAx>
      <c:valAx>
        <c:axId val="2083668095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2083680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AXD!$J$13</c:f>
              <c:numCache>
                <c:formatCode>0%</c:formatCode>
                <c:ptCount val="1"/>
                <c:pt idx="0">
                  <c:v>7.2266453958618929E-2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E-4B5D-AB13-51BBC9098E87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AXD!$K$13</c:f>
              <c:numCache>
                <c:formatCode>0%</c:formatCode>
                <c:ptCount val="1"/>
                <c:pt idx="0">
                  <c:v>0.92773354604138103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9E-4B5D-AB13-51BBC9098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50-4A6A-BDDC-50799D913A2C}"/>
              </c:ext>
            </c:extLst>
          </c:dPt>
          <c:val>
            <c:numRef>
              <c:f>AXD!$J$14</c:f>
              <c:numCache>
                <c:formatCode>0%</c:formatCode>
                <c:ptCount val="1"/>
                <c:pt idx="0">
                  <c:v>1.3526399104040374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A9-4CB3-BC71-4FA4EE24037F}"/>
            </c:ext>
          </c:extLst>
        </c:ser>
        <c:ser>
          <c:idx val="1"/>
          <c:order val="1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AXD!$K$14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A9-4CB3-BC71-4FA4EE240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AD-4D5A-945D-F1A99B5989BD}"/>
              </c:ext>
            </c:extLst>
          </c:dPt>
          <c:val>
            <c:numRef>
              <c:f>AXD!$J$15</c:f>
              <c:numCache>
                <c:formatCode>0%</c:formatCode>
                <c:ptCount val="1"/>
                <c:pt idx="0">
                  <c:v>0.30880284370995836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2-4D98-B78D-2CBF1CB53C9B}"/>
            </c:ext>
          </c:extLst>
        </c:ser>
        <c:ser>
          <c:idx val="1"/>
          <c:order val="1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AXD!$K$15</c:f>
              <c:numCache>
                <c:formatCode>0%</c:formatCode>
                <c:ptCount val="1"/>
                <c:pt idx="0">
                  <c:v>0.69119715629004164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2-4D98-B78D-2CBF1CB53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3E-4595-A351-285566D7F864}"/>
              </c:ext>
            </c:extLst>
          </c:dPt>
          <c:val>
            <c:numRef>
              <c:f>AXD!$J$16</c:f>
              <c:numCache>
                <c:formatCode>0%</c:formatCode>
                <c:ptCount val="1"/>
                <c:pt idx="0">
                  <c:v>1.5780512250308603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0-46A2-83F3-5714491BE068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AXD!$K$16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50-46A2-83F3-5714491BE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16"/>
          <c:order val="0"/>
          <c:spPr>
            <a:solidFill>
              <a:srgbClr val="EABD00"/>
            </a:solidFill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</c:spPr>
            <c:extLst>
              <c:ext xmlns:c16="http://schemas.microsoft.com/office/drawing/2014/chart" uri="{C3380CC4-5D6E-409C-BE32-E72D297353CC}">
                <c16:uniqueId val="{00000001-4CB8-4B7D-A349-6EA70526E967}"/>
              </c:ext>
            </c:extLst>
          </c:dPt>
          <c:val>
            <c:numRef>
              <c:f>AXD!$J$17</c:f>
              <c:numCache>
                <c:formatCode>0%</c:formatCode>
                <c:ptCount val="1"/>
                <c:pt idx="0">
                  <c:v>0.18013499216414236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C77C-4A25-B0E8-3CB517FE10B8}"/>
            </c:ext>
          </c:extLst>
        </c:ser>
        <c:ser>
          <c:idx val="17"/>
          <c:order val="1"/>
          <c:spPr>
            <a:solidFill>
              <a:schemeClr val="bg1">
                <a:lumMod val="85000"/>
              </a:schemeClr>
            </a:solidFill>
          </c:spPr>
          <c:invertIfNegative val="0"/>
          <c:val>
            <c:numRef>
              <c:f>AXD!$K$17</c:f>
              <c:numCache>
                <c:formatCode>0%</c:formatCode>
                <c:ptCount val="1"/>
                <c:pt idx="0">
                  <c:v>0.81986500783585758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C77C-4A25-B0E8-3CB517FE1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88-43A3-8936-00ADE897B823}"/>
              </c:ext>
            </c:extLst>
          </c:dPt>
          <c:val>
            <c:numRef>
              <c:f>AXD!$J$12</c:f>
              <c:numCache>
                <c:formatCode>0%</c:formatCode>
                <c:ptCount val="1"/>
                <c:pt idx="0">
                  <c:v>1.3474174700362842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CF-4D66-97B8-4799A555C8AC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AXD!$K$12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CF-4D66-97B8-4799A555C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16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18900000" scaled="1"/>
            </a:gradFill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</c:spPr>
            <c:extLst>
              <c:ext xmlns:c16="http://schemas.microsoft.com/office/drawing/2014/chart" uri="{C3380CC4-5D6E-409C-BE32-E72D297353CC}">
                <c16:uniqueId val="{00000001-377E-4D81-ABC1-12725428F463}"/>
              </c:ext>
            </c:extLst>
          </c:dPt>
          <c:val>
            <c:numRef>
              <c:f>AXD!$J$18</c:f>
              <c:numCache>
                <c:formatCode>0%</c:formatCode>
                <c:ptCount val="1"/>
                <c:pt idx="0">
                  <c:v>0.50501012368873444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7A-43D9-9B50-3EF0A011DB4B}"/>
            </c:ext>
          </c:extLst>
        </c:ser>
        <c:ser>
          <c:idx val="17"/>
          <c:order val="1"/>
          <c:spPr>
            <a:solidFill>
              <a:schemeClr val="bg1">
                <a:lumMod val="85000"/>
              </a:schemeClr>
            </a:solidFill>
          </c:spPr>
          <c:invertIfNegative val="0"/>
          <c:val>
            <c:numRef>
              <c:f>AXD!$K$18</c:f>
              <c:numCache>
                <c:formatCode>0%</c:formatCode>
                <c:ptCount val="1"/>
                <c:pt idx="0">
                  <c:v>0.49498987631126556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7A-43D9-9B50-3EF0A011D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89-4CC1-AAD9-DDA4DB12F804}"/>
              </c:ext>
            </c:extLst>
          </c:dPt>
          <c:val>
            <c:numRef>
              <c:f>AXD!$J$21</c:f>
              <c:numCache>
                <c:formatCode>0%</c:formatCode>
                <c:ptCount val="1"/>
                <c:pt idx="0">
                  <c:v>0.58873542423445457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4-4D47-9386-B45C5825C45D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AXD!$K$21</c:f>
              <c:numCache>
                <c:formatCode>0%</c:formatCode>
                <c:ptCount val="1"/>
                <c:pt idx="0">
                  <c:v>0.41126457576554543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4-4D47-9386-B45C5825C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AXD!$J$22</c:f>
              <c:numCache>
                <c:formatCode>0%</c:formatCode>
                <c:ptCount val="1"/>
                <c:pt idx="0">
                  <c:v>0.19400407534112232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D-4CDC-B271-F53E626D70D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97D-4CDC-B271-F53E626D70DC}"/>
              </c:ext>
            </c:extLst>
          </c:dPt>
          <c:val>
            <c:numRef>
              <c:f>AXD!$K$22</c:f>
              <c:numCache>
                <c:formatCode>0%</c:formatCode>
                <c:ptCount val="1"/>
                <c:pt idx="0">
                  <c:v>0.8059959246588777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7D-4CDC-B271-F53E626D7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AXD!$J$23</c:f>
              <c:numCache>
                <c:formatCode>0%</c:formatCode>
                <c:ptCount val="1"/>
                <c:pt idx="0">
                  <c:v>0.5551648151538533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2-4FC6-A284-D576C21CF642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AXD!$K$23</c:f>
              <c:numCache>
                <c:formatCode>0%</c:formatCode>
                <c:ptCount val="1"/>
                <c:pt idx="0">
                  <c:v>0.4448351848461467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2-4FC6-A284-D576C21CF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AXD!$J$24</c:f>
              <c:numCache>
                <c:formatCode>0%</c:formatCode>
                <c:ptCount val="1"/>
                <c:pt idx="0">
                  <c:v>2.5606893842694742E-2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DC-4F7B-B405-9BC668B77ED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0DC-4F7B-B405-9BC668B77EDC}"/>
              </c:ext>
            </c:extLst>
          </c:dPt>
          <c:val>
            <c:numRef>
              <c:f>AXD!$K$24</c:f>
              <c:numCache>
                <c:formatCode>0%</c:formatCode>
                <c:ptCount val="1"/>
                <c:pt idx="0">
                  <c:v>0.97439310615730523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DC-4F7B-B405-9BC668B77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CD-42AC-83BE-D94C232B05E3}"/>
              </c:ext>
            </c:extLst>
          </c:dPt>
          <c:val>
            <c:numRef>
              <c:f>AXD!$J$25</c:f>
              <c:numCache>
                <c:formatCode>0%</c:formatCode>
                <c:ptCount val="1"/>
                <c:pt idx="0">
                  <c:v>0.22633808789797602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6-4A8A-AE7D-6DBF036D33ED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AXD!$K$25</c:f>
              <c:numCache>
                <c:formatCode>0%</c:formatCode>
                <c:ptCount val="1"/>
                <c:pt idx="0">
                  <c:v>0.77366191210202395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E6-4A8A-AE7D-6DBF036D3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DD-4595-8376-492F6AB4C968}"/>
              </c:ext>
            </c:extLst>
          </c:dPt>
          <c:val>
            <c:numRef>
              <c:f>AXD!$J$26</c:f>
              <c:numCache>
                <c:formatCode>0%</c:formatCode>
                <c:ptCount val="1"/>
                <c:pt idx="0">
                  <c:v>0.42264359071444713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CE-460C-9838-F7627A2E782D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AXD!$K$26</c:f>
              <c:numCache>
                <c:formatCode>0%</c:formatCode>
                <c:ptCount val="1"/>
                <c:pt idx="0">
                  <c:v>0.57735640928555287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CE-460C-9838-F7627A2E7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 flip="none" rotWithShape="1"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AXD!$J$29</c:f>
              <c:numCache>
                <c:formatCode>0%</c:formatCode>
                <c:ptCount val="1"/>
                <c:pt idx="0">
                  <c:v>0.24742343198973882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45-4A46-9C9B-9ADC7A622A21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AXD!$K$29</c:f>
              <c:numCache>
                <c:formatCode>0%</c:formatCode>
                <c:ptCount val="1"/>
                <c:pt idx="0">
                  <c:v>0.75257656801026118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45-4A46-9C9B-9ADC7A622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FB-4004-A1F2-3290AA99E985}"/>
              </c:ext>
            </c:extLst>
          </c:dPt>
          <c:val>
            <c:numRef>
              <c:f>AXD!$J$30</c:f>
              <c:numCache>
                <c:formatCode>0%</c:formatCode>
                <c:ptCount val="1"/>
                <c:pt idx="0">
                  <c:v>4.9764260897371203E-2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8-4040-BFAA-049D205B8DB0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AXD!$K$30</c:f>
              <c:numCache>
                <c:formatCode>0%</c:formatCode>
                <c:ptCount val="1"/>
                <c:pt idx="0">
                  <c:v>0.95023573910262882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8-4040-BFAA-049D205B8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B8-4C0E-82CC-D85421126449}"/>
              </c:ext>
            </c:extLst>
          </c:dPt>
          <c:val>
            <c:numRef>
              <c:f>AXD!$J$31</c:f>
              <c:numCache>
                <c:formatCode>0%</c:formatCode>
                <c:ptCount val="1"/>
                <c:pt idx="0">
                  <c:v>0.59069940836164025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4-4CDB-88C7-FB1D77EB78EF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AXD!$K$31</c:f>
              <c:numCache>
                <c:formatCode>0%</c:formatCode>
                <c:ptCount val="1"/>
                <c:pt idx="0">
                  <c:v>0.40930059163835975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4-4CDB-88C7-FB1D77EB7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AXD!$J$32</c:f>
              <c:numCache>
                <c:formatCode>0%</c:formatCode>
                <c:ptCount val="1"/>
                <c:pt idx="0">
                  <c:v>0.22276375993299141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7-4418-A737-C888B13EE738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AXD!$K$32</c:f>
              <c:numCache>
                <c:formatCode>0%</c:formatCode>
                <c:ptCount val="1"/>
                <c:pt idx="0">
                  <c:v>0.77723624006700853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7-4418-A737-C888B13EE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AXD!$J$33</c:f>
              <c:numCache>
                <c:formatCode>0%</c:formatCode>
                <c:ptCount val="1"/>
                <c:pt idx="0">
                  <c:v>0.73837426045205024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7-40BB-9A90-1D8DFBD8235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C77-40BB-9A90-1D8DFBD82358}"/>
              </c:ext>
            </c:extLst>
          </c:dPt>
          <c:val>
            <c:numRef>
              <c:f>AXD!$K$33</c:f>
              <c:numCache>
                <c:formatCode>0%</c:formatCode>
                <c:ptCount val="1"/>
                <c:pt idx="0">
                  <c:v>0.26162573954794976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77-40BB-9A90-1D8DFBD82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 flip="none" rotWithShape="1"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AXD!$J$34</c:f>
              <c:numCache>
                <c:formatCode>0%</c:formatCode>
                <c:ptCount val="1"/>
                <c:pt idx="0">
                  <c:v>0.36390845016554801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5-42C7-987A-3E022C529D39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AXD!$K$34</c:f>
              <c:numCache>
                <c:formatCode>0%</c:formatCode>
                <c:ptCount val="1"/>
                <c:pt idx="0">
                  <c:v>0.63609154983445193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95-42C7-987A-3E022C529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AXD!$J$36</c:f>
              <c:numCache>
                <c:formatCode>0%</c:formatCode>
                <c:ptCount val="1"/>
                <c:pt idx="0">
                  <c:v>0.31555365240377914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3FA-BEEF-F8F419695B13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AXD!$K$36</c:f>
              <c:numCache>
                <c:formatCode>0%</c:formatCode>
                <c:ptCount val="1"/>
                <c:pt idx="0">
                  <c:v>0.68444634759622081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8F-43FA-BEEF-F8F419695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5B-44E3-85D0-E6608B073672}"/>
              </c:ext>
            </c:extLst>
          </c:dPt>
          <c:val>
            <c:numRef>
              <c:f>AXD!$J$35</c:f>
              <c:numCache>
                <c:formatCode>0%</c:formatCode>
                <c:ptCount val="1"/>
                <c:pt idx="0">
                  <c:v>0.15459992171581061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D5-4F4B-928B-04202A9D0AD5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AXD!$K$35</c:f>
              <c:numCache>
                <c:formatCode>0%</c:formatCode>
                <c:ptCount val="1"/>
                <c:pt idx="0">
                  <c:v>0.84540007828418939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D5-4F4B-928B-04202A9D0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AXD!$J$37</c:f>
              <c:numCache>
                <c:formatCode>0%</c:formatCode>
                <c:ptCount val="1"/>
                <c:pt idx="0">
                  <c:v>0.10518455080125971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32-4A0A-B3C1-AFB8B79087FC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AXD!$K$37</c:f>
              <c:numCache>
                <c:formatCode>0%</c:formatCode>
                <c:ptCount val="1"/>
                <c:pt idx="0">
                  <c:v>0.89481544919874034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32-4A0A-B3C1-AFB8B7908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AXD!$J$38</c:f>
              <c:numCache>
                <c:formatCode>0%</c:formatCode>
                <c:ptCount val="1"/>
                <c:pt idx="0">
                  <c:v>0.38121583152340566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B-40CC-9B28-AB35E06BEE22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AXD!$K$38</c:f>
              <c:numCache>
                <c:formatCode>0%</c:formatCode>
                <c:ptCount val="1"/>
                <c:pt idx="0">
                  <c:v>0.61878416847659434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BB-40CC-9B28-AB35E06BE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1B-4B9A-88CF-254C8E4916AD}"/>
              </c:ext>
            </c:extLst>
          </c:dPt>
          <c:val>
            <c:numRef>
              <c:f>AXD!$J$39</c:f>
              <c:numCache>
                <c:formatCode>0%</c:formatCode>
                <c:ptCount val="1"/>
                <c:pt idx="0">
                  <c:v>0.38121583152340566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D-4A61-AD2D-CCB1D99BC373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AXD!$K$39</c:f>
              <c:numCache>
                <c:formatCode>0%</c:formatCode>
                <c:ptCount val="1"/>
                <c:pt idx="0">
                  <c:v>0.61878416847659434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BD-4A61-AD2D-CCB1D99BC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219-4E1A-9DBB-85225A99ED7A}"/>
              </c:ext>
            </c:extLst>
          </c:dPt>
          <c:val>
            <c:numRef>
              <c:f>AXD!$J$40</c:f>
              <c:numCache>
                <c:formatCode>0%</c:formatCode>
                <c:ptCount val="1"/>
                <c:pt idx="0">
                  <c:v>0.4765197894042571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9-4609-AD35-C8CB72CCFC24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AXD!$K$40</c:f>
              <c:numCache>
                <c:formatCode>0%</c:formatCode>
                <c:ptCount val="1"/>
                <c:pt idx="0">
                  <c:v>0.5234802105957429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9-4609-AD35-C8CB72CCF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422-4EC5-8384-0DB4F2E18FDE}"/>
              </c:ext>
            </c:extLst>
          </c:dPt>
          <c:val>
            <c:numRef>
              <c:f>AXD!$J$41</c:f>
              <c:numCache>
                <c:formatCode>0%</c:formatCode>
                <c:ptCount val="1"/>
                <c:pt idx="0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C-4A35-B4EA-F5D085F9F711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AXD!$K$41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C-4A35-B4EA-F5D085F9F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AXD!$AA$22</c:f>
              <c:numCache>
                <c:formatCode>0%</c:formatCode>
                <c:ptCount val="1"/>
                <c:pt idx="0">
                  <c:v>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1-457B-A89C-F4563B7D144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AXD!$AB$22</c:f>
              <c:numCache>
                <c:formatCode>0%</c:formatCode>
                <c:ptCount val="1"/>
                <c:pt idx="0">
                  <c:v>6.9999999999999951E-2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D1-457B-A89C-F4563B7D1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5346863"/>
        <c:axId val="305349775"/>
      </c:barChart>
      <c:catAx>
        <c:axId val="30534686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5349775"/>
        <c:crosses val="autoZero"/>
        <c:auto val="1"/>
        <c:lblAlgn val="ctr"/>
        <c:lblOffset val="100"/>
        <c:noMultiLvlLbl val="0"/>
      </c:catAx>
      <c:valAx>
        <c:axId val="305349775"/>
        <c:scaling>
          <c:orientation val="minMax"/>
          <c:max val="1"/>
        </c:scaling>
        <c:delete val="1"/>
        <c:axPos val="b"/>
        <c:numFmt formatCode="0%" sourceLinked="1"/>
        <c:majorTickMark val="none"/>
        <c:minorTickMark val="none"/>
        <c:tickLblPos val="nextTo"/>
        <c:crossAx val="305346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AXD!$J$29</c:f>
              <c:numCache>
                <c:formatCode>0%</c:formatCode>
                <c:ptCount val="1"/>
                <c:pt idx="0">
                  <c:v>0.24742343198973882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13-452E-9D93-8126C97849C1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AXD!$K$29</c:f>
              <c:numCache>
                <c:formatCode>0%</c:formatCode>
                <c:ptCount val="1"/>
                <c:pt idx="0">
                  <c:v>0.75257656801026118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13-452E-9D93-8126C9784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AXD!$J$30</c:f>
              <c:numCache>
                <c:formatCode>0%</c:formatCode>
                <c:ptCount val="1"/>
                <c:pt idx="0">
                  <c:v>4.9764260897371203E-2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3-4276-AF48-8FF88E1FC50F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AXD!$K$30</c:f>
              <c:numCache>
                <c:formatCode>0%</c:formatCode>
                <c:ptCount val="1"/>
                <c:pt idx="0">
                  <c:v>0.95023573910262882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3-4276-AF48-8FF88E1FC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AXD!$J$31</c:f>
              <c:numCache>
                <c:formatCode>0%</c:formatCode>
                <c:ptCount val="1"/>
                <c:pt idx="0">
                  <c:v>0.59069940836164025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14-4709-967B-907218155E8D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AXD!$K$31</c:f>
              <c:numCache>
                <c:formatCode>0%</c:formatCode>
                <c:ptCount val="1"/>
                <c:pt idx="0">
                  <c:v>0.40930059163835975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14-4709-967B-907218155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AXD!$J$32</c:f>
              <c:numCache>
                <c:formatCode>0%</c:formatCode>
                <c:ptCount val="1"/>
                <c:pt idx="0">
                  <c:v>0.22276375993299141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D-4D57-B017-BAF2291AE349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AXD!$K$32</c:f>
              <c:numCache>
                <c:formatCode>0%</c:formatCode>
                <c:ptCount val="1"/>
                <c:pt idx="0">
                  <c:v>0.77723624006700853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6D-4D57-B017-BAF2291AE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AXD!$J$33</c:f>
              <c:numCache>
                <c:formatCode>0%</c:formatCode>
                <c:ptCount val="1"/>
                <c:pt idx="0">
                  <c:v>0.73837426045205024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D-4E1B-B23D-7E3A532507B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08D-4E1B-B23D-7E3A532507BB}"/>
              </c:ext>
            </c:extLst>
          </c:dPt>
          <c:val>
            <c:numRef>
              <c:f>AXD!$K$33</c:f>
              <c:numCache>
                <c:formatCode>0%</c:formatCode>
                <c:ptCount val="1"/>
                <c:pt idx="0">
                  <c:v>0.26162573954794976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8D-4E1B-B23D-7E3A53250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AXD!$J$34</c:f>
              <c:numCache>
                <c:formatCode>0%</c:formatCode>
                <c:ptCount val="1"/>
                <c:pt idx="0">
                  <c:v>0.36390845016554801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4-4DF2-BF9B-7BB3FFD2448A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AXD!$K$34</c:f>
              <c:numCache>
                <c:formatCode>0%</c:formatCode>
                <c:ptCount val="1"/>
                <c:pt idx="0">
                  <c:v>0.63609154983445193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4-4DF2-BF9B-7BB3FFD244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AXD!$J$36</c:f>
              <c:numCache>
                <c:formatCode>0%</c:formatCode>
                <c:ptCount val="1"/>
                <c:pt idx="0">
                  <c:v>0.31555365240377914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E-4191-9162-FE10BF4B41A5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AXD!$K$36</c:f>
              <c:numCache>
                <c:formatCode>0%</c:formatCode>
                <c:ptCount val="1"/>
                <c:pt idx="0">
                  <c:v>0.68444634759622081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DE-4191-9162-FE10BF4B4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EABD00"/>
            </a:solidFill>
            <a:ln>
              <a:noFill/>
            </a:ln>
            <a:effectLst/>
          </c:spPr>
          <c:invertIfNegative val="0"/>
          <c:val>
            <c:numRef>
              <c:f>AXD!$J$37</c:f>
              <c:numCache>
                <c:formatCode>0%</c:formatCode>
                <c:ptCount val="1"/>
                <c:pt idx="0">
                  <c:v>0.10518455080125971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0-46DE-B181-7F64DAF910BC}"/>
            </c:ext>
          </c:extLst>
        </c:ser>
        <c:ser>
          <c:idx val="1"/>
          <c:order val="1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val>
            <c:numRef>
              <c:f>AXD!$K$37</c:f>
              <c:numCache>
                <c:formatCode>0%</c:formatCode>
                <c:ptCount val="1"/>
                <c:pt idx="0">
                  <c:v>0.89481544919874034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50-46DE-B181-7F64DAF91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981919"/>
        <c:axId val="463988991"/>
      </c:barChart>
      <c:catAx>
        <c:axId val="46398191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3988991"/>
        <c:crosses val="autoZero"/>
        <c:auto val="1"/>
        <c:lblAlgn val="ctr"/>
        <c:lblOffset val="100"/>
        <c:noMultiLvlLbl val="0"/>
      </c:catAx>
      <c:valAx>
        <c:axId val="463988991"/>
        <c:scaling>
          <c:orientation val="minMax"/>
          <c:max val="1"/>
          <c:min val="0"/>
        </c:scaling>
        <c:delete val="1"/>
        <c:axPos val="b"/>
        <c:numFmt formatCode="0%" sourceLinked="1"/>
        <c:majorTickMark val="none"/>
        <c:minorTickMark val="none"/>
        <c:tickLblPos val="nextTo"/>
        <c:crossAx val="463981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LGC A'!A1"/><Relationship Id="rId1" Type="http://schemas.openxmlformats.org/officeDocument/2006/relationships/hyperlink" Target="#DSB!A1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9.png"/><Relationship Id="rId21" Type="http://schemas.microsoft.com/office/2007/relationships/hdphoto" Target="../media/hdphoto4.wdp"/><Relationship Id="rId42" Type="http://schemas.openxmlformats.org/officeDocument/2006/relationships/hyperlink" Target="#'1CMB'!A1"/><Relationship Id="rId47" Type="http://schemas.openxmlformats.org/officeDocument/2006/relationships/hyperlink" Target="#HOME!A1"/><Relationship Id="rId63" Type="http://schemas.openxmlformats.org/officeDocument/2006/relationships/chart" Target="../charts/chart15.xml"/><Relationship Id="rId68" Type="http://schemas.openxmlformats.org/officeDocument/2006/relationships/chart" Target="../charts/chart20.xml"/><Relationship Id="rId84" Type="http://schemas.openxmlformats.org/officeDocument/2006/relationships/image" Target="../media/image29.png"/><Relationship Id="rId16" Type="http://schemas.openxmlformats.org/officeDocument/2006/relationships/image" Target="../media/image14.png"/><Relationship Id="rId11" Type="http://schemas.openxmlformats.org/officeDocument/2006/relationships/image" Target="../media/image12.png"/><Relationship Id="rId32" Type="http://schemas.openxmlformats.org/officeDocument/2006/relationships/image" Target="../media/image23.png"/><Relationship Id="rId37" Type="http://schemas.openxmlformats.org/officeDocument/2006/relationships/hyperlink" Target="#'1RST'!A1"/><Relationship Id="rId53" Type="http://schemas.openxmlformats.org/officeDocument/2006/relationships/chart" Target="../charts/chart5.xml"/><Relationship Id="rId58" Type="http://schemas.openxmlformats.org/officeDocument/2006/relationships/chart" Target="../charts/chart10.xml"/><Relationship Id="rId74" Type="http://schemas.openxmlformats.org/officeDocument/2006/relationships/chart" Target="../charts/chart26.xml"/><Relationship Id="rId79" Type="http://schemas.openxmlformats.org/officeDocument/2006/relationships/chart" Target="../charts/chart31.xml"/><Relationship Id="rId5" Type="http://schemas.openxmlformats.org/officeDocument/2006/relationships/hyperlink" Target="#'1VRF'!A1"/><Relationship Id="rId19" Type="http://schemas.microsoft.com/office/2007/relationships/hdphoto" Target="../media/hdphoto3.wdp"/><Relationship Id="rId14" Type="http://schemas.openxmlformats.org/officeDocument/2006/relationships/chart" Target="../charts/chart3.xml"/><Relationship Id="rId22" Type="http://schemas.openxmlformats.org/officeDocument/2006/relationships/image" Target="../media/image17.png"/><Relationship Id="rId27" Type="http://schemas.microsoft.com/office/2007/relationships/hdphoto" Target="../media/hdphoto7.wdp"/><Relationship Id="rId30" Type="http://schemas.openxmlformats.org/officeDocument/2006/relationships/image" Target="../media/image22.png"/><Relationship Id="rId35" Type="http://schemas.microsoft.com/office/2007/relationships/hdphoto" Target="../media/hdphoto10.wdp"/><Relationship Id="rId43" Type="http://schemas.openxmlformats.org/officeDocument/2006/relationships/hyperlink" Target="#CMB!A1"/><Relationship Id="rId48" Type="http://schemas.openxmlformats.org/officeDocument/2006/relationships/image" Target="../media/image25.png"/><Relationship Id="rId56" Type="http://schemas.openxmlformats.org/officeDocument/2006/relationships/chart" Target="../charts/chart8.xml"/><Relationship Id="rId64" Type="http://schemas.openxmlformats.org/officeDocument/2006/relationships/chart" Target="../charts/chart16.xml"/><Relationship Id="rId69" Type="http://schemas.openxmlformats.org/officeDocument/2006/relationships/chart" Target="../charts/chart21.xml"/><Relationship Id="rId77" Type="http://schemas.openxmlformats.org/officeDocument/2006/relationships/chart" Target="../charts/chart29.xml"/><Relationship Id="rId8" Type="http://schemas.openxmlformats.org/officeDocument/2006/relationships/image" Target="../media/image10.emf"/><Relationship Id="rId51" Type="http://schemas.openxmlformats.org/officeDocument/2006/relationships/chart" Target="../charts/chart4.xml"/><Relationship Id="rId72" Type="http://schemas.openxmlformats.org/officeDocument/2006/relationships/chart" Target="../charts/chart24.xml"/><Relationship Id="rId80" Type="http://schemas.openxmlformats.org/officeDocument/2006/relationships/chart" Target="../charts/chart32.xml"/><Relationship Id="rId85" Type="http://schemas.openxmlformats.org/officeDocument/2006/relationships/image" Target="../media/image30.png"/><Relationship Id="rId3" Type="http://schemas.openxmlformats.org/officeDocument/2006/relationships/image" Target="../media/image6.emf"/><Relationship Id="rId12" Type="http://schemas.openxmlformats.org/officeDocument/2006/relationships/chart" Target="../charts/chart1.xml"/><Relationship Id="rId17" Type="http://schemas.microsoft.com/office/2007/relationships/hdphoto" Target="../media/hdphoto2.wdp"/><Relationship Id="rId25" Type="http://schemas.microsoft.com/office/2007/relationships/hdphoto" Target="../media/hdphoto6.wdp"/><Relationship Id="rId33" Type="http://schemas.microsoft.com/office/2007/relationships/hdphoto" Target="../media/hdphoto9.wdp"/><Relationship Id="rId38" Type="http://schemas.openxmlformats.org/officeDocument/2006/relationships/hyperlink" Target="#RST!A1"/><Relationship Id="rId46" Type="http://schemas.openxmlformats.org/officeDocument/2006/relationships/hyperlink" Target="#LGC!A1"/><Relationship Id="rId59" Type="http://schemas.openxmlformats.org/officeDocument/2006/relationships/chart" Target="../charts/chart11.xml"/><Relationship Id="rId67" Type="http://schemas.openxmlformats.org/officeDocument/2006/relationships/chart" Target="../charts/chart19.xml"/><Relationship Id="rId20" Type="http://schemas.openxmlformats.org/officeDocument/2006/relationships/image" Target="../media/image16.png"/><Relationship Id="rId41" Type="http://schemas.openxmlformats.org/officeDocument/2006/relationships/hyperlink" Target="#CRG!A1"/><Relationship Id="rId54" Type="http://schemas.openxmlformats.org/officeDocument/2006/relationships/chart" Target="../charts/chart6.xml"/><Relationship Id="rId62" Type="http://schemas.openxmlformats.org/officeDocument/2006/relationships/chart" Target="../charts/chart14.xml"/><Relationship Id="rId70" Type="http://schemas.openxmlformats.org/officeDocument/2006/relationships/chart" Target="../charts/chart22.xml"/><Relationship Id="rId75" Type="http://schemas.openxmlformats.org/officeDocument/2006/relationships/chart" Target="../charts/chart27.xml"/><Relationship Id="rId83" Type="http://schemas.openxmlformats.org/officeDocument/2006/relationships/chart" Target="../charts/chart35.xml"/><Relationship Id="rId88" Type="http://schemas.openxmlformats.org/officeDocument/2006/relationships/image" Target="../media/image33.png"/><Relationship Id="rId1" Type="http://schemas.openxmlformats.org/officeDocument/2006/relationships/image" Target="../media/image4.emf"/><Relationship Id="rId6" Type="http://schemas.openxmlformats.org/officeDocument/2006/relationships/image" Target="../media/image8.emf"/><Relationship Id="rId15" Type="http://schemas.openxmlformats.org/officeDocument/2006/relationships/image" Target="../media/image13.png"/><Relationship Id="rId23" Type="http://schemas.microsoft.com/office/2007/relationships/hdphoto" Target="../media/hdphoto5.wdp"/><Relationship Id="rId28" Type="http://schemas.openxmlformats.org/officeDocument/2006/relationships/image" Target="../media/image20.png"/><Relationship Id="rId36" Type="http://schemas.openxmlformats.org/officeDocument/2006/relationships/hyperlink" Target="http://www.etools.upf.br/" TargetMode="External"/><Relationship Id="rId49" Type="http://schemas.openxmlformats.org/officeDocument/2006/relationships/image" Target="../media/image26.png"/><Relationship Id="rId57" Type="http://schemas.openxmlformats.org/officeDocument/2006/relationships/chart" Target="../charts/chart9.xml"/><Relationship Id="rId10" Type="http://schemas.microsoft.com/office/2007/relationships/hdphoto" Target="../media/hdphoto1.wdp"/><Relationship Id="rId31" Type="http://schemas.microsoft.com/office/2007/relationships/hdphoto" Target="../media/hdphoto8.wdp"/><Relationship Id="rId44" Type="http://schemas.openxmlformats.org/officeDocument/2006/relationships/hyperlink" Target="#VRF!A1"/><Relationship Id="rId52" Type="http://schemas.openxmlformats.org/officeDocument/2006/relationships/image" Target="../media/image28.png"/><Relationship Id="rId60" Type="http://schemas.openxmlformats.org/officeDocument/2006/relationships/chart" Target="../charts/chart12.xml"/><Relationship Id="rId65" Type="http://schemas.openxmlformats.org/officeDocument/2006/relationships/chart" Target="../charts/chart17.xml"/><Relationship Id="rId73" Type="http://schemas.openxmlformats.org/officeDocument/2006/relationships/chart" Target="../charts/chart25.xml"/><Relationship Id="rId78" Type="http://schemas.openxmlformats.org/officeDocument/2006/relationships/chart" Target="../charts/chart30.xml"/><Relationship Id="rId81" Type="http://schemas.openxmlformats.org/officeDocument/2006/relationships/chart" Target="../charts/chart33.xml"/><Relationship Id="rId86" Type="http://schemas.openxmlformats.org/officeDocument/2006/relationships/image" Target="../media/image31.png"/><Relationship Id="rId4" Type="http://schemas.openxmlformats.org/officeDocument/2006/relationships/image" Target="../media/image7.emf"/><Relationship Id="rId9" Type="http://schemas.openxmlformats.org/officeDocument/2006/relationships/image" Target="../media/image11.png"/><Relationship Id="rId13" Type="http://schemas.openxmlformats.org/officeDocument/2006/relationships/chart" Target="../charts/chart2.xml"/><Relationship Id="rId18" Type="http://schemas.openxmlformats.org/officeDocument/2006/relationships/image" Target="../media/image15.png"/><Relationship Id="rId39" Type="http://schemas.openxmlformats.org/officeDocument/2006/relationships/hyperlink" Target="#'1DSB'!A1"/><Relationship Id="rId34" Type="http://schemas.openxmlformats.org/officeDocument/2006/relationships/image" Target="../media/image24.png"/><Relationship Id="rId50" Type="http://schemas.openxmlformats.org/officeDocument/2006/relationships/image" Target="../media/image27.png"/><Relationship Id="rId55" Type="http://schemas.openxmlformats.org/officeDocument/2006/relationships/chart" Target="../charts/chart7.xml"/><Relationship Id="rId76" Type="http://schemas.openxmlformats.org/officeDocument/2006/relationships/chart" Target="../charts/chart28.xml"/><Relationship Id="rId7" Type="http://schemas.openxmlformats.org/officeDocument/2006/relationships/image" Target="../media/image9.emf"/><Relationship Id="rId71" Type="http://schemas.openxmlformats.org/officeDocument/2006/relationships/chart" Target="../charts/chart23.xml"/><Relationship Id="rId2" Type="http://schemas.openxmlformats.org/officeDocument/2006/relationships/image" Target="../media/image5.emf"/><Relationship Id="rId29" Type="http://schemas.openxmlformats.org/officeDocument/2006/relationships/image" Target="../media/image21.png"/><Relationship Id="rId24" Type="http://schemas.openxmlformats.org/officeDocument/2006/relationships/image" Target="../media/image18.png"/><Relationship Id="rId40" Type="http://schemas.openxmlformats.org/officeDocument/2006/relationships/hyperlink" Target="#'1CRG'!A1"/><Relationship Id="rId45" Type="http://schemas.openxmlformats.org/officeDocument/2006/relationships/hyperlink" Target="#'1LGC'!A1"/><Relationship Id="rId66" Type="http://schemas.openxmlformats.org/officeDocument/2006/relationships/chart" Target="../charts/chart18.xml"/><Relationship Id="rId87" Type="http://schemas.openxmlformats.org/officeDocument/2006/relationships/image" Target="../media/image32.png"/><Relationship Id="rId61" Type="http://schemas.openxmlformats.org/officeDocument/2006/relationships/chart" Target="../charts/chart13.xml"/><Relationship Id="rId82" Type="http://schemas.openxmlformats.org/officeDocument/2006/relationships/chart" Target="../charts/chart3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1VRF'!A1"/><Relationship Id="rId3" Type="http://schemas.openxmlformats.org/officeDocument/2006/relationships/hyperlink" Target="#DSB!A1"/><Relationship Id="rId7" Type="http://schemas.openxmlformats.org/officeDocument/2006/relationships/hyperlink" Target="#CMB!A1"/><Relationship Id="rId12" Type="http://schemas.openxmlformats.org/officeDocument/2006/relationships/hyperlink" Target="#HOME!A1"/><Relationship Id="rId2" Type="http://schemas.openxmlformats.org/officeDocument/2006/relationships/hyperlink" Target="#'1DSB'!A1"/><Relationship Id="rId1" Type="http://schemas.openxmlformats.org/officeDocument/2006/relationships/hyperlink" Target="#'1RST'!A1"/><Relationship Id="rId6" Type="http://schemas.openxmlformats.org/officeDocument/2006/relationships/hyperlink" Target="#'1CMB'!A1"/><Relationship Id="rId11" Type="http://schemas.openxmlformats.org/officeDocument/2006/relationships/hyperlink" Target="#LGC!A1"/><Relationship Id="rId5" Type="http://schemas.openxmlformats.org/officeDocument/2006/relationships/hyperlink" Target="#CRG!A1"/><Relationship Id="rId10" Type="http://schemas.openxmlformats.org/officeDocument/2006/relationships/hyperlink" Target="#'1LGC'!A1"/><Relationship Id="rId4" Type="http://schemas.openxmlformats.org/officeDocument/2006/relationships/hyperlink" Target="#'1CRG'!A1"/><Relationship Id="rId9" Type="http://schemas.openxmlformats.org/officeDocument/2006/relationships/hyperlink" Target="#VRF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1VRF'!A1"/><Relationship Id="rId3" Type="http://schemas.openxmlformats.org/officeDocument/2006/relationships/hyperlink" Target="#'1DSB'!A1"/><Relationship Id="rId7" Type="http://schemas.openxmlformats.org/officeDocument/2006/relationships/hyperlink" Target="#CMB!A1"/><Relationship Id="rId12" Type="http://schemas.openxmlformats.org/officeDocument/2006/relationships/hyperlink" Target="#HOME!A1"/><Relationship Id="rId2" Type="http://schemas.openxmlformats.org/officeDocument/2006/relationships/hyperlink" Target="#RST!A1"/><Relationship Id="rId1" Type="http://schemas.openxmlformats.org/officeDocument/2006/relationships/hyperlink" Target="#'1RST'!A1"/><Relationship Id="rId6" Type="http://schemas.openxmlformats.org/officeDocument/2006/relationships/hyperlink" Target="#'1CMB'!A1"/><Relationship Id="rId11" Type="http://schemas.openxmlformats.org/officeDocument/2006/relationships/hyperlink" Target="#LGC!A1"/><Relationship Id="rId5" Type="http://schemas.openxmlformats.org/officeDocument/2006/relationships/hyperlink" Target="#'1CRG'!A1"/><Relationship Id="rId10" Type="http://schemas.openxmlformats.org/officeDocument/2006/relationships/hyperlink" Target="#'1LGC'!A1"/><Relationship Id="rId4" Type="http://schemas.openxmlformats.org/officeDocument/2006/relationships/hyperlink" Target="#DSB!A1"/><Relationship Id="rId9" Type="http://schemas.openxmlformats.org/officeDocument/2006/relationships/hyperlink" Target="#VRF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13" Type="http://schemas.openxmlformats.org/officeDocument/2006/relationships/image" Target="../media/image62.png"/><Relationship Id="rId18" Type="http://schemas.openxmlformats.org/officeDocument/2006/relationships/hyperlink" Target="#'1CRG'!A1"/><Relationship Id="rId3" Type="http://schemas.openxmlformats.org/officeDocument/2006/relationships/image" Target="../media/image52.png"/><Relationship Id="rId21" Type="http://schemas.openxmlformats.org/officeDocument/2006/relationships/hyperlink" Target="#'1VRF'!A1"/><Relationship Id="rId7" Type="http://schemas.openxmlformats.org/officeDocument/2006/relationships/image" Target="../media/image56.png"/><Relationship Id="rId12" Type="http://schemas.openxmlformats.org/officeDocument/2006/relationships/image" Target="../media/image61.png"/><Relationship Id="rId17" Type="http://schemas.openxmlformats.org/officeDocument/2006/relationships/hyperlink" Target="#DSB!A1"/><Relationship Id="rId25" Type="http://schemas.openxmlformats.org/officeDocument/2006/relationships/hyperlink" Target="#HOME!A1"/><Relationship Id="rId2" Type="http://schemas.openxmlformats.org/officeDocument/2006/relationships/image" Target="../media/image51.png"/><Relationship Id="rId16" Type="http://schemas.openxmlformats.org/officeDocument/2006/relationships/hyperlink" Target="#'1DSB'!A1"/><Relationship Id="rId20" Type="http://schemas.openxmlformats.org/officeDocument/2006/relationships/hyperlink" Target="#'1CMB'!A1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11" Type="http://schemas.openxmlformats.org/officeDocument/2006/relationships/image" Target="../media/image60.png"/><Relationship Id="rId24" Type="http://schemas.openxmlformats.org/officeDocument/2006/relationships/hyperlink" Target="#LGC!A1"/><Relationship Id="rId5" Type="http://schemas.openxmlformats.org/officeDocument/2006/relationships/image" Target="../media/image54.png"/><Relationship Id="rId15" Type="http://schemas.openxmlformats.org/officeDocument/2006/relationships/hyperlink" Target="#RST!A1"/><Relationship Id="rId23" Type="http://schemas.openxmlformats.org/officeDocument/2006/relationships/hyperlink" Target="#'1LGC'!A1"/><Relationship Id="rId10" Type="http://schemas.openxmlformats.org/officeDocument/2006/relationships/image" Target="../media/image59.png"/><Relationship Id="rId19" Type="http://schemas.openxmlformats.org/officeDocument/2006/relationships/hyperlink" Target="#CRG!A1"/><Relationship Id="rId4" Type="http://schemas.openxmlformats.org/officeDocument/2006/relationships/image" Target="../media/image53.png"/><Relationship Id="rId9" Type="http://schemas.openxmlformats.org/officeDocument/2006/relationships/image" Target="../media/image58.png"/><Relationship Id="rId14" Type="http://schemas.openxmlformats.org/officeDocument/2006/relationships/hyperlink" Target="#'1RST'!A1"/><Relationship Id="rId22" Type="http://schemas.openxmlformats.org/officeDocument/2006/relationships/hyperlink" Target="#VRF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1CRG'!A1"/><Relationship Id="rId13" Type="http://schemas.openxmlformats.org/officeDocument/2006/relationships/hyperlink" Target="#'1LGC'!A1"/><Relationship Id="rId3" Type="http://schemas.microsoft.com/office/2007/relationships/hdphoto" Target="../media/hdphoto11.wdp"/><Relationship Id="rId7" Type="http://schemas.openxmlformats.org/officeDocument/2006/relationships/hyperlink" Target="#DSB!A1"/><Relationship Id="rId12" Type="http://schemas.openxmlformats.org/officeDocument/2006/relationships/hyperlink" Target="#'1VRF'!A1"/><Relationship Id="rId2" Type="http://schemas.openxmlformats.org/officeDocument/2006/relationships/image" Target="../media/image64.png"/><Relationship Id="rId1" Type="http://schemas.openxmlformats.org/officeDocument/2006/relationships/image" Target="../media/image50.png"/><Relationship Id="rId6" Type="http://schemas.openxmlformats.org/officeDocument/2006/relationships/hyperlink" Target="#'1DSB'!A1"/><Relationship Id="rId11" Type="http://schemas.openxmlformats.org/officeDocument/2006/relationships/hyperlink" Target="#CMB!A1"/><Relationship Id="rId5" Type="http://schemas.openxmlformats.org/officeDocument/2006/relationships/hyperlink" Target="#RST!A1"/><Relationship Id="rId15" Type="http://schemas.openxmlformats.org/officeDocument/2006/relationships/hyperlink" Target="#HOME!A1"/><Relationship Id="rId10" Type="http://schemas.openxmlformats.org/officeDocument/2006/relationships/hyperlink" Target="#'1CMB'!A1"/><Relationship Id="rId4" Type="http://schemas.openxmlformats.org/officeDocument/2006/relationships/hyperlink" Target="#'1RST'!A1"/><Relationship Id="rId9" Type="http://schemas.openxmlformats.org/officeDocument/2006/relationships/hyperlink" Target="#CRG!A1"/><Relationship Id="rId14" Type="http://schemas.openxmlformats.org/officeDocument/2006/relationships/hyperlink" Target="#LGC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1DSB'!A1"/><Relationship Id="rId13" Type="http://schemas.openxmlformats.org/officeDocument/2006/relationships/hyperlink" Target="#CMB!A1"/><Relationship Id="rId3" Type="http://schemas.openxmlformats.org/officeDocument/2006/relationships/image" Target="../media/image31.png"/><Relationship Id="rId7" Type="http://schemas.openxmlformats.org/officeDocument/2006/relationships/hyperlink" Target="#RST!A1"/><Relationship Id="rId12" Type="http://schemas.openxmlformats.org/officeDocument/2006/relationships/hyperlink" Target="#'1CMB'!A1"/><Relationship Id="rId17" Type="http://schemas.openxmlformats.org/officeDocument/2006/relationships/hyperlink" Target="#HOME!A1"/><Relationship Id="rId2" Type="http://schemas.openxmlformats.org/officeDocument/2006/relationships/image" Target="../media/image30.png"/><Relationship Id="rId16" Type="http://schemas.openxmlformats.org/officeDocument/2006/relationships/hyperlink" Target="#'1LGC'!A1"/><Relationship Id="rId1" Type="http://schemas.openxmlformats.org/officeDocument/2006/relationships/image" Target="../media/image29.png"/><Relationship Id="rId6" Type="http://schemas.openxmlformats.org/officeDocument/2006/relationships/hyperlink" Target="#'1RST'!A1"/><Relationship Id="rId11" Type="http://schemas.openxmlformats.org/officeDocument/2006/relationships/hyperlink" Target="#CRG!A1"/><Relationship Id="rId5" Type="http://schemas.openxmlformats.org/officeDocument/2006/relationships/image" Target="../media/image33.png"/><Relationship Id="rId15" Type="http://schemas.openxmlformats.org/officeDocument/2006/relationships/hyperlink" Target="#VRF!A1"/><Relationship Id="rId10" Type="http://schemas.openxmlformats.org/officeDocument/2006/relationships/hyperlink" Target="#'1CRG'!A1"/><Relationship Id="rId4" Type="http://schemas.openxmlformats.org/officeDocument/2006/relationships/image" Target="../media/image32.png"/><Relationship Id="rId9" Type="http://schemas.openxmlformats.org/officeDocument/2006/relationships/hyperlink" Target="#DSB!A1"/><Relationship Id="rId14" Type="http://schemas.openxmlformats.org/officeDocument/2006/relationships/hyperlink" Target="#'1VRF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png"/><Relationship Id="rId13" Type="http://schemas.openxmlformats.org/officeDocument/2006/relationships/image" Target="../media/image84.png"/><Relationship Id="rId3" Type="http://schemas.openxmlformats.org/officeDocument/2006/relationships/image" Target="../media/image74.png"/><Relationship Id="rId7" Type="http://schemas.openxmlformats.org/officeDocument/2006/relationships/image" Target="../media/image78.png"/><Relationship Id="rId12" Type="http://schemas.openxmlformats.org/officeDocument/2006/relationships/image" Target="../media/image83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5" Type="http://schemas.openxmlformats.org/officeDocument/2006/relationships/image" Target="../media/image76.png"/><Relationship Id="rId10" Type="http://schemas.openxmlformats.org/officeDocument/2006/relationships/image" Target="../media/image81.png"/><Relationship Id="rId4" Type="http://schemas.openxmlformats.org/officeDocument/2006/relationships/image" Target="../media/image75.png"/><Relationship Id="rId9" Type="http://schemas.openxmlformats.org/officeDocument/2006/relationships/image" Target="../media/image80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3.xml"/><Relationship Id="rId3" Type="http://schemas.openxmlformats.org/officeDocument/2006/relationships/chart" Target="../charts/chart38.xml"/><Relationship Id="rId7" Type="http://schemas.openxmlformats.org/officeDocument/2006/relationships/chart" Target="../charts/chart42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11" Type="http://schemas.openxmlformats.org/officeDocument/2006/relationships/hyperlink" Target="#'1DSB'!A1"/><Relationship Id="rId5" Type="http://schemas.openxmlformats.org/officeDocument/2006/relationships/chart" Target="../charts/chart40.xml"/><Relationship Id="rId10" Type="http://schemas.openxmlformats.org/officeDocument/2006/relationships/image" Target="../media/image8.emf"/><Relationship Id="rId4" Type="http://schemas.openxmlformats.org/officeDocument/2006/relationships/chart" Target="../charts/chart39.xml"/><Relationship Id="rId9" Type="http://schemas.openxmlformats.org/officeDocument/2006/relationships/chart" Target="../charts/chart4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hyperlink" Target="#HOME!A1"/><Relationship Id="rId5" Type="http://schemas.openxmlformats.org/officeDocument/2006/relationships/image" Target="../media/image33.png"/><Relationship Id="rId4" Type="http://schemas.openxmlformats.org/officeDocument/2006/relationships/image" Target="../media/image32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46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12" Type="http://schemas.openxmlformats.org/officeDocument/2006/relationships/image" Target="../media/image45.png"/><Relationship Id="rId2" Type="http://schemas.openxmlformats.org/officeDocument/2006/relationships/image" Target="../media/image35.png"/><Relationship Id="rId16" Type="http://schemas.openxmlformats.org/officeDocument/2006/relationships/image" Target="../media/image49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11" Type="http://schemas.openxmlformats.org/officeDocument/2006/relationships/image" Target="../media/image44.png"/><Relationship Id="rId5" Type="http://schemas.openxmlformats.org/officeDocument/2006/relationships/image" Target="../media/image38.png"/><Relationship Id="rId15" Type="http://schemas.openxmlformats.org/officeDocument/2006/relationships/image" Target="../media/image4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Relationship Id="rId14" Type="http://schemas.openxmlformats.org/officeDocument/2006/relationships/image" Target="../media/image4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5" Type="http://schemas.openxmlformats.org/officeDocument/2006/relationships/image" Target="../media/image69.jpeg"/><Relationship Id="rId4" Type="http://schemas.openxmlformats.org/officeDocument/2006/relationships/image" Target="../media/image68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86.png"/><Relationship Id="rId1" Type="http://schemas.openxmlformats.org/officeDocument/2006/relationships/image" Target="../media/image8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590987</xdr:colOff>
      <xdr:row>0</xdr:row>
      <xdr:rowOff>257176</xdr:rowOff>
    </xdr:from>
    <xdr:to>
      <xdr:col>13</xdr:col>
      <xdr:colOff>19051</xdr:colOff>
      <xdr:row>11</xdr:row>
      <xdr:rowOff>66675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48587" y="257176"/>
          <a:ext cx="3695264" cy="2638424"/>
        </a:xfrm>
        <a:prstGeom prst="roundRect">
          <a:avLst>
            <a:gd name="adj" fmla="val 5370"/>
          </a:avLst>
        </a:prstGeom>
        <a:solidFill>
          <a:srgbClr val="1D2125"/>
        </a:solidFill>
        <a:ln>
          <a:noFill/>
        </a:ln>
        <a:effectLst>
          <a:outerShdw blurRad="596900" dist="177800" dir="5400000" algn="t" rotWithShape="0">
            <a:schemeClr val="tx1">
              <a:alpha val="1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200">
            <a:solidFill>
              <a:prstClr val="white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7</xdr:col>
      <xdr:colOff>205548</xdr:colOff>
      <xdr:row>1</xdr:row>
      <xdr:rowOff>249768</xdr:rowOff>
    </xdr:from>
    <xdr:to>
      <xdr:col>12</xdr:col>
      <xdr:colOff>404489</xdr:colOff>
      <xdr:row>1</xdr:row>
      <xdr:rowOff>544807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72748" y="649818"/>
          <a:ext cx="3246941" cy="295039"/>
        </a:xfrm>
        <a:prstGeom prst="rect">
          <a:avLst/>
        </a:prstGeom>
        <a:noFill/>
        <a:ln>
          <a:noFill/>
        </a:ln>
        <a:effectLst>
          <a:outerShdw blurRad="596900" dist="177800" dir="5400000" algn="t" rotWithShape="0">
            <a:schemeClr val="tx1">
              <a:alpha val="1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1200" cap="none" spc="0" normalizeH="0" baseline="0">
              <a:ln>
                <a:noFill/>
              </a:ln>
              <a:solidFill>
                <a:schemeClr val="bg1">
                  <a:lumMod val="75000"/>
                </a:schemeClr>
              </a:solidFill>
              <a:effectLst/>
              <a:uLnTx/>
              <a:uFillTx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Selecione o Modelo da Treliça</a:t>
          </a:r>
          <a:endParaRPr lang="pt-BR" sz="1200">
            <a:solidFill>
              <a:schemeClr val="bg1">
                <a:lumMod val="75000"/>
              </a:schemeClr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7</xdr:col>
      <xdr:colOff>205548</xdr:colOff>
      <xdr:row>0</xdr:row>
      <xdr:rowOff>347483</xdr:rowOff>
    </xdr:from>
    <xdr:to>
      <xdr:col>12</xdr:col>
      <xdr:colOff>404489</xdr:colOff>
      <xdr:row>1</xdr:row>
      <xdr:rowOff>288024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72748" y="347483"/>
          <a:ext cx="3246941" cy="340591"/>
        </a:xfrm>
        <a:prstGeom prst="roundRect">
          <a:avLst>
            <a:gd name="adj" fmla="val 50000"/>
          </a:avLst>
        </a:prstGeom>
        <a:noFill/>
        <a:ln>
          <a:noFill/>
        </a:ln>
        <a:effectLst>
          <a:outerShdw blurRad="596900" dist="177800" dir="5400000" algn="t" rotWithShape="0">
            <a:schemeClr val="tx1">
              <a:alpha val="1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Dimensionamento de Cobertura</a:t>
          </a:r>
        </a:p>
      </xdr:txBody>
    </xdr:sp>
    <xdr:clientData/>
  </xdr:twoCellAnchor>
  <xdr:twoCellAnchor>
    <xdr:from>
      <xdr:col>6</xdr:col>
      <xdr:colOff>590987</xdr:colOff>
      <xdr:row>11</xdr:row>
      <xdr:rowOff>145206</xdr:rowOff>
    </xdr:from>
    <xdr:to>
      <xdr:col>13</xdr:col>
      <xdr:colOff>19051</xdr:colOff>
      <xdr:row>17</xdr:row>
      <xdr:rowOff>104775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91487" y="2974131"/>
          <a:ext cx="3695264" cy="1102569"/>
        </a:xfrm>
        <a:prstGeom prst="roundRect">
          <a:avLst>
            <a:gd name="adj" fmla="val 10654"/>
          </a:avLst>
        </a:prstGeom>
        <a:solidFill>
          <a:srgbClr val="1D2125"/>
        </a:solidFill>
        <a:ln>
          <a:noFill/>
        </a:ln>
        <a:effectLst>
          <a:outerShdw blurRad="596900" dist="177800" dir="5400000" algn="t" rotWithShape="0">
            <a:schemeClr val="tx1">
              <a:alpha val="1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200">
            <a:solidFill>
              <a:prstClr val="white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7</xdr:col>
      <xdr:colOff>205548</xdr:colOff>
      <xdr:row>11</xdr:row>
      <xdr:rowOff>164227</xdr:rowOff>
    </xdr:from>
    <xdr:to>
      <xdr:col>12</xdr:col>
      <xdr:colOff>404489</xdr:colOff>
      <xdr:row>13</xdr:row>
      <xdr:rowOff>68542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72748" y="2993152"/>
          <a:ext cx="3246941" cy="285315"/>
        </a:xfrm>
        <a:prstGeom prst="rect">
          <a:avLst/>
        </a:prstGeom>
        <a:noFill/>
        <a:ln>
          <a:noFill/>
        </a:ln>
        <a:effectLst>
          <a:outerShdw blurRad="596900" dist="177800" dir="5400000" algn="t" rotWithShape="0">
            <a:schemeClr val="tx1">
              <a:alpha val="1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Módulos Extras</a:t>
          </a:r>
        </a:p>
      </xdr:txBody>
    </xdr:sp>
    <xdr:clientData/>
  </xdr:twoCellAnchor>
  <xdr:twoCellAnchor>
    <xdr:from>
      <xdr:col>8</xdr:col>
      <xdr:colOff>438092</xdr:colOff>
      <xdr:row>1</xdr:row>
      <xdr:rowOff>578065</xdr:rowOff>
    </xdr:from>
    <xdr:to>
      <xdr:col>11</xdr:col>
      <xdr:colOff>138638</xdr:colOff>
      <xdr:row>10</xdr:row>
      <xdr:rowOff>81288</xdr:rowOff>
    </xdr:to>
    <xdr:grpSp>
      <xdr:nvGrpSpPr>
        <xdr:cNvPr id="15" name="Agrupar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5794952" y="974305"/>
          <a:ext cx="1575066" cy="1674923"/>
          <a:chOff x="4480039" y="966745"/>
          <a:chExt cx="1529008" cy="1740593"/>
        </a:xfrm>
      </xdr:grpSpPr>
      <xdr:grpSp>
        <xdr:nvGrpSpPr>
          <xdr:cNvPr id="16" name="Agrupar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GrpSpPr/>
        </xdr:nvGrpSpPr>
        <xdr:grpSpPr>
          <a:xfrm>
            <a:off x="4480039" y="966745"/>
            <a:ext cx="1529008" cy="1740593"/>
            <a:chOff x="4480039" y="966745"/>
            <a:chExt cx="1529008" cy="1740593"/>
          </a:xfrm>
        </xdr:grpSpPr>
        <xdr:sp macro="" textlink="">
          <xdr:nvSpPr>
            <xdr:cNvPr id="18" name="Retângulo: Cantos Arredondados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4480039" y="966745"/>
              <a:ext cx="1529008" cy="1740593"/>
            </a:xfrm>
            <a:prstGeom prst="roundRect">
              <a:avLst>
                <a:gd name="adj" fmla="val 10009"/>
              </a:avLst>
            </a:prstGeom>
            <a:gradFill flip="none" rotWithShape="1">
              <a:gsLst>
                <a:gs pos="74000">
                  <a:srgbClr val="FD3F0B"/>
                </a:gs>
                <a:gs pos="0">
                  <a:srgbClr val="FF2929"/>
                </a:gs>
              </a:gsLst>
              <a:lin ang="14400000" scaled="0"/>
              <a:tileRect/>
            </a:gradFill>
            <a:ln>
              <a:noFill/>
            </a:ln>
            <a:effectLst>
              <a:outerShdw blurRad="596900" dist="177800" dir="5400000" algn="t" rotWithShape="0">
                <a:schemeClr val="tx1">
                  <a:alpha val="10000"/>
                </a:scheme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pt-BR" sz="1050" b="0" i="0" u="none" strike="noStrike" kern="120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19" name="Retângulo: Cantos Arredondados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4796065" y="1019272"/>
              <a:ext cx="896955" cy="195655"/>
            </a:xfrm>
            <a:prstGeom prst="roundRect">
              <a:avLst>
                <a:gd name="adj" fmla="val 50000"/>
              </a:avLst>
            </a:prstGeom>
            <a:solidFill>
              <a:schemeClr val="bg1"/>
            </a:solidFill>
            <a:ln>
              <a:noFill/>
            </a:ln>
            <a:effectLst>
              <a:outerShdw blurRad="304800" dist="38100" dir="5400000" algn="t" rotWithShape="0">
                <a:prstClr val="black">
                  <a:alpha val="16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pt-BR" sz="1050" b="0" i="0" u="none" strike="noStrike" kern="1200" cap="none" spc="0" normalizeH="0" baseline="0">
                  <a:ln>
                    <a:noFill/>
                  </a:ln>
                  <a:solidFill>
                    <a:srgbClr val="FD3F0B"/>
                  </a:solidFill>
                  <a:effectLst/>
                  <a:uLnTx/>
                  <a:uFillTx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Modelo A                             </a:t>
              </a:r>
            </a:p>
          </xdr:txBody>
        </xdr:sp>
        <xdr:sp macro="" textlink="">
          <xdr:nvSpPr>
            <xdr:cNvPr id="20" name="Retângulo: Cantos Arredondados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638337" y="1305841"/>
              <a:ext cx="1212410" cy="195654"/>
            </a:xfrm>
            <a:prstGeom prst="roundRect">
              <a:avLst>
                <a:gd name="adj" fmla="val 26103"/>
              </a:avLst>
            </a:prstGeom>
            <a:noFill/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pt-BR" sz="1100" b="0" i="0" u="none" strike="noStrike" kern="120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Vão de até 6 m</a:t>
              </a:r>
            </a:p>
          </xdr:txBody>
        </xdr:sp>
        <xdr:sp macro="" textlink="">
          <xdr:nvSpPr>
            <xdr:cNvPr id="21" name="Retângulo: Cantos Arredondados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>
            <a:xfrm>
              <a:off x="4711290" y="2174853"/>
              <a:ext cx="1066506" cy="195654"/>
            </a:xfrm>
            <a:prstGeom prst="roundRect">
              <a:avLst>
                <a:gd name="adj" fmla="val 0"/>
              </a:avLst>
            </a:prstGeom>
            <a:noFill/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pt-BR" sz="1050" b="0" i="0" u="none" strike="noStrike" kern="120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Treliça Howe</a:t>
              </a:r>
            </a:p>
          </xdr:txBody>
        </xdr:sp>
        <xdr:sp macro="" textlink="">
          <xdr:nvSpPr>
            <xdr:cNvPr id="22" name="Retângulo: Cantos Arredondados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4733936" y="2345324"/>
              <a:ext cx="1021215" cy="362014"/>
            </a:xfrm>
            <a:prstGeom prst="roundRect">
              <a:avLst>
                <a:gd name="adj" fmla="val 0"/>
              </a:avLst>
            </a:prstGeom>
            <a:noFill/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pt-BR" sz="900" b="1" i="0" u="none" strike="noStrike" kern="1200" cap="none" spc="0" normalizeH="0" baseline="0">
                  <a:ln>
                    <a:noFill/>
                  </a:ln>
                  <a:solidFill>
                    <a:srgbClr val="FFEFDD"/>
                  </a:solidFill>
                  <a:effectLst/>
                  <a:uLnTx/>
                  <a:uFillTx/>
                  <a:latin typeface="Leelawadee UI" panose="020B0502040204020203" pitchFamily="34" charset="-34"/>
                  <a:ea typeface="+mn-ea"/>
                  <a:cs typeface="Leelawadee UI" panose="020B0502040204020203" pitchFamily="34" charset="-34"/>
                </a:rPr>
                <a:t>1 Vertical</a:t>
              </a:r>
            </a:p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pt-BR" sz="900" b="1" i="0" u="none" strike="noStrike" kern="1200" cap="none" spc="0" normalizeH="0" baseline="0">
                  <a:ln>
                    <a:noFill/>
                  </a:ln>
                  <a:solidFill>
                    <a:srgbClr val="FFEFDD"/>
                  </a:solidFill>
                  <a:effectLst/>
                  <a:uLnTx/>
                  <a:uFillTx/>
                  <a:latin typeface="Leelawadee UI" panose="020B0502040204020203" pitchFamily="34" charset="-34"/>
                  <a:ea typeface="+mn-ea"/>
                  <a:cs typeface="Leelawadee UI" panose="020B0502040204020203" pitchFamily="34" charset="-34"/>
                </a:rPr>
                <a:t>2 Diagonais</a:t>
              </a:r>
            </a:p>
          </xdr:txBody>
        </xdr:sp>
      </xdr:grpSp>
      <xdr:sp macro="" textlink="">
        <xdr:nvSpPr>
          <xdr:cNvPr id="17" name="Forma Livre: Forma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4595810" y="1576174"/>
            <a:ext cx="1297466" cy="521735"/>
          </a:xfrm>
          <a:custGeom>
            <a:avLst/>
            <a:gdLst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06673 h 2668736"/>
              <a:gd name="connsiteX28" fmla="*/ 4417001 w 8618536"/>
              <a:gd name="connsiteY28" fmla="*/ 2433210 h 2668736"/>
              <a:gd name="connsiteX29" fmla="*/ 5785622 w 8618536"/>
              <a:gd name="connsiteY29" fmla="*/ 2433210 h 2668736"/>
              <a:gd name="connsiteX30" fmla="*/ 5784003 w 8618536"/>
              <a:gd name="connsiteY30" fmla="*/ 2434184 h 2668736"/>
              <a:gd name="connsiteX31" fmla="*/ 6753171 w 8618536"/>
              <a:gd name="connsiteY31" fmla="*/ 2434184 h 2668736"/>
              <a:gd name="connsiteX32" fmla="*/ 6751553 w 8618536"/>
              <a:gd name="connsiteY32" fmla="*/ 2433210 h 2668736"/>
              <a:gd name="connsiteX33" fmla="*/ 8169849 w 8618536"/>
              <a:gd name="connsiteY33" fmla="*/ 2433210 h 2668736"/>
              <a:gd name="connsiteX34" fmla="*/ 6611755 w 8618536"/>
              <a:gd name="connsiteY34" fmla="*/ 1531363 h 2668736"/>
              <a:gd name="connsiteX35" fmla="*/ 6268587 w 8618536"/>
              <a:gd name="connsiteY35" fmla="*/ 1324844 h 2668736"/>
              <a:gd name="connsiteX36" fmla="*/ 4190999 w 8618536"/>
              <a:gd name="connsiteY36" fmla="*/ 263464 h 2668736"/>
              <a:gd name="connsiteX37" fmla="*/ 2563665 w 8618536"/>
              <a:gd name="connsiteY37" fmla="*/ 1205389 h 2668736"/>
              <a:gd name="connsiteX38" fmla="*/ 4190999 w 8618536"/>
              <a:gd name="connsiteY38" fmla="*/ 2147314 h 2668736"/>
              <a:gd name="connsiteX39" fmla="*/ 4190999 w 8618536"/>
              <a:gd name="connsiteY39" fmla="*/ 263464 h 2668736"/>
              <a:gd name="connsiteX40" fmla="*/ 2338362 w 8618536"/>
              <a:gd name="connsiteY40" fmla="*/ 1317699 h 2668736"/>
              <a:gd name="connsiteX41" fmla="*/ 1853778 w 8618536"/>
              <a:gd name="connsiteY41" fmla="*/ 1609322 h 2668736"/>
              <a:gd name="connsiteX42" fmla="*/ 1865802 w 8618536"/>
              <a:gd name="connsiteY42" fmla="*/ 1609322 h 2668736"/>
              <a:gd name="connsiteX43" fmla="*/ 442396 w 8618536"/>
              <a:gd name="connsiteY43" fmla="*/ 2433210 h 2668736"/>
              <a:gd name="connsiteX44" fmla="*/ 1855398 w 8618536"/>
              <a:gd name="connsiteY44" fmla="*/ 2433210 h 2668736"/>
              <a:gd name="connsiteX45" fmla="*/ 1853778 w 8618536"/>
              <a:gd name="connsiteY45" fmla="*/ 2434185 h 2668736"/>
              <a:gd name="connsiteX46" fmla="*/ 2822946 w 8618536"/>
              <a:gd name="connsiteY46" fmla="*/ 2434185 h 2668736"/>
              <a:gd name="connsiteX47" fmla="*/ 2821326 w 8618536"/>
              <a:gd name="connsiteY47" fmla="*/ 2433210 h 2668736"/>
              <a:gd name="connsiteX48" fmla="*/ 4190999 w 8618536"/>
              <a:gd name="connsiteY48" fmla="*/ 2433210 h 2668736"/>
              <a:gd name="connsiteX49" fmla="*/ 4190999 w 8618536"/>
              <a:gd name="connsiteY49" fmla="*/ 2408443 h 2668736"/>
              <a:gd name="connsiteX50" fmla="*/ 2810382 w 8618536"/>
              <a:gd name="connsiteY50" fmla="*/ 1609322 h 2668736"/>
              <a:gd name="connsiteX51" fmla="*/ 2822946 w 8618536"/>
              <a:gd name="connsiteY51" fmla="*/ 1609322 h 2668736"/>
              <a:gd name="connsiteX52" fmla="*/ 2338362 w 8618536"/>
              <a:gd name="connsiteY52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06673 h 2668736"/>
              <a:gd name="connsiteX28" fmla="*/ 4417001 w 8618536"/>
              <a:gd name="connsiteY28" fmla="*/ 2433210 h 2668736"/>
              <a:gd name="connsiteX29" fmla="*/ 5785622 w 8618536"/>
              <a:gd name="connsiteY29" fmla="*/ 2433210 h 2668736"/>
              <a:gd name="connsiteX30" fmla="*/ 5784003 w 8618536"/>
              <a:gd name="connsiteY30" fmla="*/ 2434184 h 2668736"/>
              <a:gd name="connsiteX31" fmla="*/ 6753171 w 8618536"/>
              <a:gd name="connsiteY31" fmla="*/ 2434184 h 2668736"/>
              <a:gd name="connsiteX32" fmla="*/ 6751553 w 8618536"/>
              <a:gd name="connsiteY32" fmla="*/ 2433210 h 2668736"/>
              <a:gd name="connsiteX33" fmla="*/ 8169849 w 8618536"/>
              <a:gd name="connsiteY33" fmla="*/ 2433210 h 2668736"/>
              <a:gd name="connsiteX34" fmla="*/ 6611755 w 8618536"/>
              <a:gd name="connsiteY34" fmla="*/ 1531363 h 2668736"/>
              <a:gd name="connsiteX35" fmla="*/ 6268587 w 8618536"/>
              <a:gd name="connsiteY35" fmla="*/ 1324844 h 2668736"/>
              <a:gd name="connsiteX36" fmla="*/ 4190999 w 8618536"/>
              <a:gd name="connsiteY36" fmla="*/ 263464 h 2668736"/>
              <a:gd name="connsiteX37" fmla="*/ 2563665 w 8618536"/>
              <a:gd name="connsiteY37" fmla="*/ 1205389 h 2668736"/>
              <a:gd name="connsiteX38" fmla="*/ 4190999 w 8618536"/>
              <a:gd name="connsiteY38" fmla="*/ 2147314 h 2668736"/>
              <a:gd name="connsiteX39" fmla="*/ 4190999 w 8618536"/>
              <a:gd name="connsiteY39" fmla="*/ 263464 h 2668736"/>
              <a:gd name="connsiteX40" fmla="*/ 2338362 w 8618536"/>
              <a:gd name="connsiteY40" fmla="*/ 1317699 h 2668736"/>
              <a:gd name="connsiteX41" fmla="*/ 1865802 w 8618536"/>
              <a:gd name="connsiteY41" fmla="*/ 1609322 h 2668736"/>
              <a:gd name="connsiteX42" fmla="*/ 442396 w 8618536"/>
              <a:gd name="connsiteY42" fmla="*/ 2433210 h 2668736"/>
              <a:gd name="connsiteX43" fmla="*/ 1855398 w 8618536"/>
              <a:gd name="connsiteY43" fmla="*/ 2433210 h 2668736"/>
              <a:gd name="connsiteX44" fmla="*/ 1853778 w 8618536"/>
              <a:gd name="connsiteY44" fmla="*/ 2434185 h 2668736"/>
              <a:gd name="connsiteX45" fmla="*/ 2822946 w 8618536"/>
              <a:gd name="connsiteY45" fmla="*/ 2434185 h 2668736"/>
              <a:gd name="connsiteX46" fmla="*/ 2821326 w 8618536"/>
              <a:gd name="connsiteY46" fmla="*/ 2433210 h 2668736"/>
              <a:gd name="connsiteX47" fmla="*/ 4190999 w 8618536"/>
              <a:gd name="connsiteY47" fmla="*/ 2433210 h 2668736"/>
              <a:gd name="connsiteX48" fmla="*/ 4190999 w 8618536"/>
              <a:gd name="connsiteY48" fmla="*/ 2408443 h 2668736"/>
              <a:gd name="connsiteX49" fmla="*/ 2810382 w 8618536"/>
              <a:gd name="connsiteY49" fmla="*/ 1609322 h 2668736"/>
              <a:gd name="connsiteX50" fmla="*/ 2822946 w 8618536"/>
              <a:gd name="connsiteY50" fmla="*/ 1609322 h 2668736"/>
              <a:gd name="connsiteX51" fmla="*/ 2338362 w 8618536"/>
              <a:gd name="connsiteY51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06673 h 2668736"/>
              <a:gd name="connsiteX28" fmla="*/ 4417001 w 8618536"/>
              <a:gd name="connsiteY28" fmla="*/ 2433210 h 2668736"/>
              <a:gd name="connsiteX29" fmla="*/ 5785622 w 8618536"/>
              <a:gd name="connsiteY29" fmla="*/ 2433210 h 2668736"/>
              <a:gd name="connsiteX30" fmla="*/ 5784003 w 8618536"/>
              <a:gd name="connsiteY30" fmla="*/ 2434184 h 2668736"/>
              <a:gd name="connsiteX31" fmla="*/ 6753171 w 8618536"/>
              <a:gd name="connsiteY31" fmla="*/ 2434184 h 2668736"/>
              <a:gd name="connsiteX32" fmla="*/ 6751553 w 8618536"/>
              <a:gd name="connsiteY32" fmla="*/ 2433210 h 2668736"/>
              <a:gd name="connsiteX33" fmla="*/ 8169849 w 8618536"/>
              <a:gd name="connsiteY33" fmla="*/ 2433210 h 2668736"/>
              <a:gd name="connsiteX34" fmla="*/ 6611755 w 8618536"/>
              <a:gd name="connsiteY34" fmla="*/ 1531363 h 2668736"/>
              <a:gd name="connsiteX35" fmla="*/ 6268587 w 8618536"/>
              <a:gd name="connsiteY35" fmla="*/ 1324844 h 2668736"/>
              <a:gd name="connsiteX36" fmla="*/ 4190999 w 8618536"/>
              <a:gd name="connsiteY36" fmla="*/ 263464 h 2668736"/>
              <a:gd name="connsiteX37" fmla="*/ 2563665 w 8618536"/>
              <a:gd name="connsiteY37" fmla="*/ 1205389 h 2668736"/>
              <a:gd name="connsiteX38" fmla="*/ 4190999 w 8618536"/>
              <a:gd name="connsiteY38" fmla="*/ 2147314 h 2668736"/>
              <a:gd name="connsiteX39" fmla="*/ 4190999 w 8618536"/>
              <a:gd name="connsiteY39" fmla="*/ 263464 h 2668736"/>
              <a:gd name="connsiteX40" fmla="*/ 2338362 w 8618536"/>
              <a:gd name="connsiteY40" fmla="*/ 1317699 h 2668736"/>
              <a:gd name="connsiteX41" fmla="*/ 1865802 w 8618536"/>
              <a:gd name="connsiteY41" fmla="*/ 1609322 h 2668736"/>
              <a:gd name="connsiteX42" fmla="*/ 442396 w 8618536"/>
              <a:gd name="connsiteY42" fmla="*/ 2433210 h 2668736"/>
              <a:gd name="connsiteX43" fmla="*/ 1855398 w 8618536"/>
              <a:gd name="connsiteY43" fmla="*/ 2433210 h 2668736"/>
              <a:gd name="connsiteX44" fmla="*/ 1853778 w 8618536"/>
              <a:gd name="connsiteY44" fmla="*/ 2434185 h 2668736"/>
              <a:gd name="connsiteX45" fmla="*/ 2822946 w 8618536"/>
              <a:gd name="connsiteY45" fmla="*/ 2434185 h 2668736"/>
              <a:gd name="connsiteX46" fmla="*/ 2821326 w 8618536"/>
              <a:gd name="connsiteY46" fmla="*/ 2433210 h 2668736"/>
              <a:gd name="connsiteX47" fmla="*/ 4190999 w 8618536"/>
              <a:gd name="connsiteY47" fmla="*/ 2433210 h 2668736"/>
              <a:gd name="connsiteX48" fmla="*/ 4190999 w 8618536"/>
              <a:gd name="connsiteY48" fmla="*/ 2408443 h 2668736"/>
              <a:gd name="connsiteX49" fmla="*/ 2822946 w 8618536"/>
              <a:gd name="connsiteY49" fmla="*/ 1609322 h 2668736"/>
              <a:gd name="connsiteX50" fmla="*/ 2338362 w 8618536"/>
              <a:gd name="connsiteY50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90999 w 8618536"/>
              <a:gd name="connsiteY37" fmla="*/ 2147314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190999 w 8618536"/>
              <a:gd name="connsiteY46" fmla="*/ 2433210 h 2668736"/>
              <a:gd name="connsiteX47" fmla="*/ 4190999 w 8618536"/>
              <a:gd name="connsiteY47" fmla="*/ 2408443 h 2668736"/>
              <a:gd name="connsiteX48" fmla="*/ 2822946 w 8618536"/>
              <a:gd name="connsiteY48" fmla="*/ 1609322 h 2668736"/>
              <a:gd name="connsiteX49" fmla="*/ 2338362 w 8618536"/>
              <a:gd name="connsiteY49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90999 w 8618536"/>
              <a:gd name="connsiteY37" fmla="*/ 2147314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190999 w 8618536"/>
              <a:gd name="connsiteY46" fmla="*/ 2433210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90999 w 8618536"/>
              <a:gd name="connsiteY37" fmla="*/ 2147314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50319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50319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86851 w 8618536"/>
              <a:gd name="connsiteY27" fmla="*/ 243956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50319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524951 w 8618536"/>
              <a:gd name="connsiteY27" fmla="*/ 2441941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62225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524951 w 8618536"/>
              <a:gd name="connsiteY27" fmla="*/ 2441941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</a:cxnLst>
            <a:rect l="l" t="t" r="r" b="b"/>
            <a:pathLst>
              <a:path w="8618536" h="2668736">
                <a:moveTo>
                  <a:pt x="4417215" y="0"/>
                </a:moveTo>
                <a:lnTo>
                  <a:pt x="8611683" y="2427820"/>
                </a:lnTo>
                <a:lnTo>
                  <a:pt x="8618088" y="2433210"/>
                </a:lnTo>
                <a:cubicBezTo>
                  <a:pt x="8618237" y="2509338"/>
                  <a:pt x="8618387" y="2585466"/>
                  <a:pt x="8618536" y="2661594"/>
                </a:cubicBezTo>
                <a:lnTo>
                  <a:pt x="6369626" y="2659212"/>
                </a:lnTo>
                <a:lnTo>
                  <a:pt x="6143624" y="2659212"/>
                </a:lnTo>
                <a:lnTo>
                  <a:pt x="4417001" y="2659212"/>
                </a:lnTo>
                <a:lnTo>
                  <a:pt x="4417001" y="2659213"/>
                </a:lnTo>
                <a:lnTo>
                  <a:pt x="4190999" y="2659213"/>
                </a:lnTo>
                <a:lnTo>
                  <a:pt x="4190999" y="2659212"/>
                </a:lnTo>
                <a:lnTo>
                  <a:pt x="0" y="2668736"/>
                </a:lnTo>
                <a:cubicBezTo>
                  <a:pt x="1226" y="2590227"/>
                  <a:pt x="2451" y="2511719"/>
                  <a:pt x="3677" y="2433210"/>
                </a:cubicBezTo>
                <a:lnTo>
                  <a:pt x="558" y="2427822"/>
                </a:lnTo>
                <a:lnTo>
                  <a:pt x="4190999" y="2333"/>
                </a:lnTo>
                <a:lnTo>
                  <a:pt x="4190999" y="5"/>
                </a:lnTo>
                <a:lnTo>
                  <a:pt x="4195022" y="5"/>
                </a:lnTo>
                <a:cubicBezTo>
                  <a:pt x="4195024" y="4"/>
                  <a:pt x="4195025" y="3"/>
                  <a:pt x="4195027" y="2"/>
                </a:cubicBezTo>
                <a:cubicBezTo>
                  <a:pt x="4195028" y="3"/>
                  <a:pt x="4195028" y="4"/>
                  <a:pt x="4195029" y="5"/>
                </a:cubicBezTo>
                <a:lnTo>
                  <a:pt x="4417001" y="5"/>
                </a:lnTo>
                <a:lnTo>
                  <a:pt x="4417001" y="369"/>
                </a:lnTo>
                <a:lnTo>
                  <a:pt x="4417215" y="0"/>
                </a:lnTo>
                <a:close/>
                <a:moveTo>
                  <a:pt x="4417001" y="261007"/>
                </a:moveTo>
                <a:cubicBezTo>
                  <a:pt x="4414884" y="924111"/>
                  <a:pt x="4412768" y="1599121"/>
                  <a:pt x="4410651" y="2262225"/>
                </a:cubicBezTo>
                <a:lnTo>
                  <a:pt x="6044928" y="1203275"/>
                </a:lnTo>
                <a:lnTo>
                  <a:pt x="4417001" y="261007"/>
                </a:lnTo>
                <a:close/>
                <a:moveTo>
                  <a:pt x="6268587" y="1324844"/>
                </a:moveTo>
                <a:lnTo>
                  <a:pt x="5828997" y="1589390"/>
                </a:lnTo>
                <a:lnTo>
                  <a:pt x="4524951" y="2441941"/>
                </a:lnTo>
                <a:lnTo>
                  <a:pt x="5785622" y="2433210"/>
                </a:lnTo>
                <a:lnTo>
                  <a:pt x="5784003" y="2434184"/>
                </a:lnTo>
                <a:lnTo>
                  <a:pt x="6753171" y="2434184"/>
                </a:lnTo>
                <a:lnTo>
                  <a:pt x="6751553" y="2433210"/>
                </a:lnTo>
                <a:lnTo>
                  <a:pt x="8169849" y="2433210"/>
                </a:lnTo>
                <a:lnTo>
                  <a:pt x="6611755" y="1531363"/>
                </a:lnTo>
                <a:lnTo>
                  <a:pt x="6268587" y="1324844"/>
                </a:lnTo>
                <a:close/>
                <a:moveTo>
                  <a:pt x="4190999" y="263464"/>
                </a:moveTo>
                <a:lnTo>
                  <a:pt x="2563665" y="1205389"/>
                </a:lnTo>
                <a:lnTo>
                  <a:pt x="4187824" y="2252089"/>
                </a:lnTo>
                <a:cubicBezTo>
                  <a:pt x="4188882" y="1589214"/>
                  <a:pt x="4189941" y="926339"/>
                  <a:pt x="4190999" y="263464"/>
                </a:cubicBezTo>
                <a:close/>
                <a:moveTo>
                  <a:pt x="2338362" y="1317699"/>
                </a:moveTo>
                <a:lnTo>
                  <a:pt x="1865802" y="1609322"/>
                </a:lnTo>
                <a:lnTo>
                  <a:pt x="442396" y="2433210"/>
                </a:lnTo>
                <a:lnTo>
                  <a:pt x="1855398" y="2433210"/>
                </a:lnTo>
                <a:lnTo>
                  <a:pt x="1853778" y="2434185"/>
                </a:lnTo>
                <a:lnTo>
                  <a:pt x="2822946" y="2434185"/>
                </a:lnTo>
                <a:lnTo>
                  <a:pt x="2821326" y="2433210"/>
                </a:lnTo>
                <a:lnTo>
                  <a:pt x="4063999" y="2423685"/>
                </a:lnTo>
                <a:lnTo>
                  <a:pt x="2822946" y="1609322"/>
                </a:lnTo>
                <a:lnTo>
                  <a:pt x="2338362" y="1317699"/>
                </a:lnTo>
                <a:close/>
              </a:path>
            </a:pathLst>
          </a:custGeom>
          <a:solidFill>
            <a:sysClr val="window" lastClr="FFFFFF"/>
          </a:solidFill>
          <a:ln w="12700" cap="rnd">
            <a:solidFill>
              <a:schemeClr val="bg1"/>
            </a:solidFill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  <xdr:twoCellAnchor>
    <xdr:from>
      <xdr:col>8</xdr:col>
      <xdr:colOff>27681</xdr:colOff>
      <xdr:row>14</xdr:row>
      <xdr:rowOff>25320</xdr:rowOff>
    </xdr:from>
    <xdr:to>
      <xdr:col>12</xdr:col>
      <xdr:colOff>19050</xdr:colOff>
      <xdr:row>16</xdr:row>
      <xdr:rowOff>121663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pSpPr/>
      </xdr:nvGrpSpPr>
      <xdr:grpSpPr>
        <a:xfrm>
          <a:off x="5384541" y="3324780"/>
          <a:ext cx="2490729" cy="462103"/>
          <a:chOff x="4516373" y="3922182"/>
          <a:chExt cx="3197267" cy="481608"/>
        </a:xfrm>
      </xdr:grpSpPr>
      <xdr:sp macro="" textlink="">
        <xdr:nvSpPr>
          <xdr:cNvPr id="32" name="Retângulo: Cantos Arredondados 3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4516373" y="3922182"/>
            <a:ext cx="3197267" cy="481608"/>
          </a:xfrm>
          <a:prstGeom prst="roundRect">
            <a:avLst>
              <a:gd name="adj" fmla="val 48578"/>
            </a:avLst>
          </a:prstGeom>
          <a:gradFill flip="none" rotWithShape="1">
            <a:gsLst>
              <a:gs pos="71000">
                <a:srgbClr val="FD3F0B"/>
              </a:gs>
              <a:gs pos="23000">
                <a:srgbClr val="FF2929"/>
              </a:gs>
            </a:gsLst>
            <a:lin ang="14400000" scaled="0"/>
            <a:tileRect/>
          </a:gradFill>
          <a:ln>
            <a:noFill/>
          </a:ln>
          <a:effectLst>
            <a:outerShdw blurRad="596900" dist="177800" dir="5400000" algn="t" rotWithShape="0">
              <a:schemeClr val="tx1">
                <a:alpha val="1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0" tIns="0" rIns="0" bIns="0" rtlCol="0" anchor="ctr" anchorCtr="0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pt-BR" sz="1200" b="0" i="0" u="none" strike="noStrike" kern="120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         Ligação</a:t>
            </a:r>
          </a:p>
        </xdr:txBody>
      </xdr:sp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4572361" y="3981413"/>
            <a:ext cx="362744" cy="365388"/>
          </a:xfrm>
          <a:prstGeom prst="ellipse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34" name="Imagem 3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/>
          <a:stretch/>
        </xdr:blipFill>
        <xdr:spPr>
          <a:xfrm>
            <a:off x="4608046" y="4021662"/>
            <a:ext cx="282583" cy="282647"/>
          </a:xfrm>
          <a:prstGeom prst="rect">
            <a:avLst/>
          </a:prstGeom>
        </xdr:spPr>
      </xdr:pic>
      <xdr:cxnSp macro="">
        <xdr:nvCxnSpPr>
          <xdr:cNvPr id="39" name="Conector reto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CxnSpPr/>
        </xdr:nvCxnSpPr>
        <xdr:spPr>
          <a:xfrm>
            <a:off x="5934221" y="3989162"/>
            <a:ext cx="3133" cy="328428"/>
          </a:xfrm>
          <a:prstGeom prst="line">
            <a:avLst/>
          </a:prstGeom>
          <a:ln w="12700" cap="rnd">
            <a:solidFill>
              <a:schemeClr val="bg1"/>
            </a:solidFill>
            <a:round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61406</xdr:colOff>
      <xdr:row>14</xdr:row>
      <xdr:rowOff>120630</xdr:rowOff>
    </xdr:from>
    <xdr:to>
      <xdr:col>11</xdr:col>
      <xdr:colOff>351121</xdr:colOff>
      <xdr:row>16</xdr:row>
      <xdr:rowOff>26352</xdr:rowOff>
    </xdr:to>
    <xdr:grpSp>
      <xdr:nvGrpSpPr>
        <xdr:cNvPr id="23" name="Agrupar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6667946" y="3420090"/>
          <a:ext cx="914555" cy="271482"/>
          <a:chOff x="6040567" y="4012981"/>
          <a:chExt cx="896797" cy="286722"/>
        </a:xfrm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6040567" y="4012981"/>
            <a:ext cx="896797" cy="286722"/>
          </a:xfrm>
          <a:prstGeom prst="roundRect">
            <a:avLst>
              <a:gd name="adj" fmla="val 50000"/>
            </a:avLst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252000" tIns="0" rIns="0" bIns="0" rtlCol="0" anchor="ctr" anchorCtr="0"/>
          <a:lstStyle/>
          <a:p>
            <a:pPr algn="ctr"/>
            <a:r>
              <a:rPr lang="pt-BR" sz="900" b="1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Modelo</a:t>
            </a:r>
            <a:r>
              <a:rPr lang="pt-BR" sz="900" b="1" baseline="0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</a:t>
            </a:r>
            <a:r>
              <a:rPr lang="pt-BR" sz="900" b="1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A</a:t>
            </a:r>
          </a:p>
        </xdr:txBody>
      </xdr:sp>
      <xdr:sp macro="" textlink="">
        <xdr:nvSpPr>
          <xdr:cNvPr id="38" name="Forma Livre: Forma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6097405" y="4104568"/>
            <a:ext cx="225124" cy="103549"/>
          </a:xfrm>
          <a:custGeom>
            <a:avLst/>
            <a:gdLst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06673 h 2668736"/>
              <a:gd name="connsiteX28" fmla="*/ 4417001 w 8618536"/>
              <a:gd name="connsiteY28" fmla="*/ 2433210 h 2668736"/>
              <a:gd name="connsiteX29" fmla="*/ 5785622 w 8618536"/>
              <a:gd name="connsiteY29" fmla="*/ 2433210 h 2668736"/>
              <a:gd name="connsiteX30" fmla="*/ 5784003 w 8618536"/>
              <a:gd name="connsiteY30" fmla="*/ 2434184 h 2668736"/>
              <a:gd name="connsiteX31" fmla="*/ 6753171 w 8618536"/>
              <a:gd name="connsiteY31" fmla="*/ 2434184 h 2668736"/>
              <a:gd name="connsiteX32" fmla="*/ 6751553 w 8618536"/>
              <a:gd name="connsiteY32" fmla="*/ 2433210 h 2668736"/>
              <a:gd name="connsiteX33" fmla="*/ 8169849 w 8618536"/>
              <a:gd name="connsiteY33" fmla="*/ 2433210 h 2668736"/>
              <a:gd name="connsiteX34" fmla="*/ 6611755 w 8618536"/>
              <a:gd name="connsiteY34" fmla="*/ 1531363 h 2668736"/>
              <a:gd name="connsiteX35" fmla="*/ 6268587 w 8618536"/>
              <a:gd name="connsiteY35" fmla="*/ 1324844 h 2668736"/>
              <a:gd name="connsiteX36" fmla="*/ 4190999 w 8618536"/>
              <a:gd name="connsiteY36" fmla="*/ 263464 h 2668736"/>
              <a:gd name="connsiteX37" fmla="*/ 2563665 w 8618536"/>
              <a:gd name="connsiteY37" fmla="*/ 1205389 h 2668736"/>
              <a:gd name="connsiteX38" fmla="*/ 4190999 w 8618536"/>
              <a:gd name="connsiteY38" fmla="*/ 2147314 h 2668736"/>
              <a:gd name="connsiteX39" fmla="*/ 4190999 w 8618536"/>
              <a:gd name="connsiteY39" fmla="*/ 263464 h 2668736"/>
              <a:gd name="connsiteX40" fmla="*/ 2338362 w 8618536"/>
              <a:gd name="connsiteY40" fmla="*/ 1317699 h 2668736"/>
              <a:gd name="connsiteX41" fmla="*/ 1853778 w 8618536"/>
              <a:gd name="connsiteY41" fmla="*/ 1609322 h 2668736"/>
              <a:gd name="connsiteX42" fmla="*/ 1865802 w 8618536"/>
              <a:gd name="connsiteY42" fmla="*/ 1609322 h 2668736"/>
              <a:gd name="connsiteX43" fmla="*/ 442396 w 8618536"/>
              <a:gd name="connsiteY43" fmla="*/ 2433210 h 2668736"/>
              <a:gd name="connsiteX44" fmla="*/ 1855398 w 8618536"/>
              <a:gd name="connsiteY44" fmla="*/ 2433210 h 2668736"/>
              <a:gd name="connsiteX45" fmla="*/ 1853778 w 8618536"/>
              <a:gd name="connsiteY45" fmla="*/ 2434185 h 2668736"/>
              <a:gd name="connsiteX46" fmla="*/ 2822946 w 8618536"/>
              <a:gd name="connsiteY46" fmla="*/ 2434185 h 2668736"/>
              <a:gd name="connsiteX47" fmla="*/ 2821326 w 8618536"/>
              <a:gd name="connsiteY47" fmla="*/ 2433210 h 2668736"/>
              <a:gd name="connsiteX48" fmla="*/ 4190999 w 8618536"/>
              <a:gd name="connsiteY48" fmla="*/ 2433210 h 2668736"/>
              <a:gd name="connsiteX49" fmla="*/ 4190999 w 8618536"/>
              <a:gd name="connsiteY49" fmla="*/ 2408443 h 2668736"/>
              <a:gd name="connsiteX50" fmla="*/ 2810382 w 8618536"/>
              <a:gd name="connsiteY50" fmla="*/ 1609322 h 2668736"/>
              <a:gd name="connsiteX51" fmla="*/ 2822946 w 8618536"/>
              <a:gd name="connsiteY51" fmla="*/ 1609322 h 2668736"/>
              <a:gd name="connsiteX52" fmla="*/ 2338362 w 8618536"/>
              <a:gd name="connsiteY52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06673 h 2668736"/>
              <a:gd name="connsiteX28" fmla="*/ 4417001 w 8618536"/>
              <a:gd name="connsiteY28" fmla="*/ 2433210 h 2668736"/>
              <a:gd name="connsiteX29" fmla="*/ 5785622 w 8618536"/>
              <a:gd name="connsiteY29" fmla="*/ 2433210 h 2668736"/>
              <a:gd name="connsiteX30" fmla="*/ 5784003 w 8618536"/>
              <a:gd name="connsiteY30" fmla="*/ 2434184 h 2668736"/>
              <a:gd name="connsiteX31" fmla="*/ 6753171 w 8618536"/>
              <a:gd name="connsiteY31" fmla="*/ 2434184 h 2668736"/>
              <a:gd name="connsiteX32" fmla="*/ 6751553 w 8618536"/>
              <a:gd name="connsiteY32" fmla="*/ 2433210 h 2668736"/>
              <a:gd name="connsiteX33" fmla="*/ 8169849 w 8618536"/>
              <a:gd name="connsiteY33" fmla="*/ 2433210 h 2668736"/>
              <a:gd name="connsiteX34" fmla="*/ 6611755 w 8618536"/>
              <a:gd name="connsiteY34" fmla="*/ 1531363 h 2668736"/>
              <a:gd name="connsiteX35" fmla="*/ 6268587 w 8618536"/>
              <a:gd name="connsiteY35" fmla="*/ 1324844 h 2668736"/>
              <a:gd name="connsiteX36" fmla="*/ 4190999 w 8618536"/>
              <a:gd name="connsiteY36" fmla="*/ 263464 h 2668736"/>
              <a:gd name="connsiteX37" fmla="*/ 2563665 w 8618536"/>
              <a:gd name="connsiteY37" fmla="*/ 1205389 h 2668736"/>
              <a:gd name="connsiteX38" fmla="*/ 4190999 w 8618536"/>
              <a:gd name="connsiteY38" fmla="*/ 2147314 h 2668736"/>
              <a:gd name="connsiteX39" fmla="*/ 4190999 w 8618536"/>
              <a:gd name="connsiteY39" fmla="*/ 263464 h 2668736"/>
              <a:gd name="connsiteX40" fmla="*/ 2338362 w 8618536"/>
              <a:gd name="connsiteY40" fmla="*/ 1317699 h 2668736"/>
              <a:gd name="connsiteX41" fmla="*/ 1865802 w 8618536"/>
              <a:gd name="connsiteY41" fmla="*/ 1609322 h 2668736"/>
              <a:gd name="connsiteX42" fmla="*/ 442396 w 8618536"/>
              <a:gd name="connsiteY42" fmla="*/ 2433210 h 2668736"/>
              <a:gd name="connsiteX43" fmla="*/ 1855398 w 8618536"/>
              <a:gd name="connsiteY43" fmla="*/ 2433210 h 2668736"/>
              <a:gd name="connsiteX44" fmla="*/ 1853778 w 8618536"/>
              <a:gd name="connsiteY44" fmla="*/ 2434185 h 2668736"/>
              <a:gd name="connsiteX45" fmla="*/ 2822946 w 8618536"/>
              <a:gd name="connsiteY45" fmla="*/ 2434185 h 2668736"/>
              <a:gd name="connsiteX46" fmla="*/ 2821326 w 8618536"/>
              <a:gd name="connsiteY46" fmla="*/ 2433210 h 2668736"/>
              <a:gd name="connsiteX47" fmla="*/ 4190999 w 8618536"/>
              <a:gd name="connsiteY47" fmla="*/ 2433210 h 2668736"/>
              <a:gd name="connsiteX48" fmla="*/ 4190999 w 8618536"/>
              <a:gd name="connsiteY48" fmla="*/ 2408443 h 2668736"/>
              <a:gd name="connsiteX49" fmla="*/ 2810382 w 8618536"/>
              <a:gd name="connsiteY49" fmla="*/ 1609322 h 2668736"/>
              <a:gd name="connsiteX50" fmla="*/ 2822946 w 8618536"/>
              <a:gd name="connsiteY50" fmla="*/ 1609322 h 2668736"/>
              <a:gd name="connsiteX51" fmla="*/ 2338362 w 8618536"/>
              <a:gd name="connsiteY51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06673 h 2668736"/>
              <a:gd name="connsiteX28" fmla="*/ 4417001 w 8618536"/>
              <a:gd name="connsiteY28" fmla="*/ 2433210 h 2668736"/>
              <a:gd name="connsiteX29" fmla="*/ 5785622 w 8618536"/>
              <a:gd name="connsiteY29" fmla="*/ 2433210 h 2668736"/>
              <a:gd name="connsiteX30" fmla="*/ 5784003 w 8618536"/>
              <a:gd name="connsiteY30" fmla="*/ 2434184 h 2668736"/>
              <a:gd name="connsiteX31" fmla="*/ 6753171 w 8618536"/>
              <a:gd name="connsiteY31" fmla="*/ 2434184 h 2668736"/>
              <a:gd name="connsiteX32" fmla="*/ 6751553 w 8618536"/>
              <a:gd name="connsiteY32" fmla="*/ 2433210 h 2668736"/>
              <a:gd name="connsiteX33" fmla="*/ 8169849 w 8618536"/>
              <a:gd name="connsiteY33" fmla="*/ 2433210 h 2668736"/>
              <a:gd name="connsiteX34" fmla="*/ 6611755 w 8618536"/>
              <a:gd name="connsiteY34" fmla="*/ 1531363 h 2668736"/>
              <a:gd name="connsiteX35" fmla="*/ 6268587 w 8618536"/>
              <a:gd name="connsiteY35" fmla="*/ 1324844 h 2668736"/>
              <a:gd name="connsiteX36" fmla="*/ 4190999 w 8618536"/>
              <a:gd name="connsiteY36" fmla="*/ 263464 h 2668736"/>
              <a:gd name="connsiteX37" fmla="*/ 2563665 w 8618536"/>
              <a:gd name="connsiteY37" fmla="*/ 1205389 h 2668736"/>
              <a:gd name="connsiteX38" fmla="*/ 4190999 w 8618536"/>
              <a:gd name="connsiteY38" fmla="*/ 2147314 h 2668736"/>
              <a:gd name="connsiteX39" fmla="*/ 4190999 w 8618536"/>
              <a:gd name="connsiteY39" fmla="*/ 263464 h 2668736"/>
              <a:gd name="connsiteX40" fmla="*/ 2338362 w 8618536"/>
              <a:gd name="connsiteY40" fmla="*/ 1317699 h 2668736"/>
              <a:gd name="connsiteX41" fmla="*/ 1865802 w 8618536"/>
              <a:gd name="connsiteY41" fmla="*/ 1609322 h 2668736"/>
              <a:gd name="connsiteX42" fmla="*/ 442396 w 8618536"/>
              <a:gd name="connsiteY42" fmla="*/ 2433210 h 2668736"/>
              <a:gd name="connsiteX43" fmla="*/ 1855398 w 8618536"/>
              <a:gd name="connsiteY43" fmla="*/ 2433210 h 2668736"/>
              <a:gd name="connsiteX44" fmla="*/ 1853778 w 8618536"/>
              <a:gd name="connsiteY44" fmla="*/ 2434185 h 2668736"/>
              <a:gd name="connsiteX45" fmla="*/ 2822946 w 8618536"/>
              <a:gd name="connsiteY45" fmla="*/ 2434185 h 2668736"/>
              <a:gd name="connsiteX46" fmla="*/ 2821326 w 8618536"/>
              <a:gd name="connsiteY46" fmla="*/ 2433210 h 2668736"/>
              <a:gd name="connsiteX47" fmla="*/ 4190999 w 8618536"/>
              <a:gd name="connsiteY47" fmla="*/ 2433210 h 2668736"/>
              <a:gd name="connsiteX48" fmla="*/ 4190999 w 8618536"/>
              <a:gd name="connsiteY48" fmla="*/ 2408443 h 2668736"/>
              <a:gd name="connsiteX49" fmla="*/ 2822946 w 8618536"/>
              <a:gd name="connsiteY49" fmla="*/ 1609322 h 2668736"/>
              <a:gd name="connsiteX50" fmla="*/ 2338362 w 8618536"/>
              <a:gd name="connsiteY50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90999 w 8618536"/>
              <a:gd name="connsiteY37" fmla="*/ 2147314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190999 w 8618536"/>
              <a:gd name="connsiteY46" fmla="*/ 2433210 h 2668736"/>
              <a:gd name="connsiteX47" fmla="*/ 4190999 w 8618536"/>
              <a:gd name="connsiteY47" fmla="*/ 2408443 h 2668736"/>
              <a:gd name="connsiteX48" fmla="*/ 2822946 w 8618536"/>
              <a:gd name="connsiteY48" fmla="*/ 1609322 h 2668736"/>
              <a:gd name="connsiteX49" fmla="*/ 2338362 w 8618536"/>
              <a:gd name="connsiteY49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90999 w 8618536"/>
              <a:gd name="connsiteY37" fmla="*/ 2147314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190999 w 8618536"/>
              <a:gd name="connsiteY46" fmla="*/ 2433210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90999 w 8618536"/>
              <a:gd name="connsiteY37" fmla="*/ 2147314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7001 w 8618536"/>
              <a:gd name="connsiteY22" fmla="*/ 2145544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50319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17001 w 8618536"/>
              <a:gd name="connsiteY27" fmla="*/ 243321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50319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486851 w 8618536"/>
              <a:gd name="connsiteY27" fmla="*/ 2439560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50319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524951 w 8618536"/>
              <a:gd name="connsiteY27" fmla="*/ 2441941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  <a:gd name="connsiteX0" fmla="*/ 4417215 w 8618536"/>
              <a:gd name="connsiteY0" fmla="*/ 0 h 2668736"/>
              <a:gd name="connsiteX1" fmla="*/ 8611683 w 8618536"/>
              <a:gd name="connsiteY1" fmla="*/ 2427820 h 2668736"/>
              <a:gd name="connsiteX2" fmla="*/ 8618088 w 8618536"/>
              <a:gd name="connsiteY2" fmla="*/ 2433210 h 2668736"/>
              <a:gd name="connsiteX3" fmla="*/ 8618536 w 8618536"/>
              <a:gd name="connsiteY3" fmla="*/ 2661594 h 2668736"/>
              <a:gd name="connsiteX4" fmla="*/ 6369626 w 8618536"/>
              <a:gd name="connsiteY4" fmla="*/ 2659212 h 2668736"/>
              <a:gd name="connsiteX5" fmla="*/ 6143624 w 8618536"/>
              <a:gd name="connsiteY5" fmla="*/ 2659212 h 2668736"/>
              <a:gd name="connsiteX6" fmla="*/ 4417001 w 8618536"/>
              <a:gd name="connsiteY6" fmla="*/ 2659212 h 2668736"/>
              <a:gd name="connsiteX7" fmla="*/ 4417001 w 8618536"/>
              <a:gd name="connsiteY7" fmla="*/ 2659213 h 2668736"/>
              <a:gd name="connsiteX8" fmla="*/ 4190999 w 8618536"/>
              <a:gd name="connsiteY8" fmla="*/ 2659213 h 2668736"/>
              <a:gd name="connsiteX9" fmla="*/ 4190999 w 8618536"/>
              <a:gd name="connsiteY9" fmla="*/ 2659212 h 2668736"/>
              <a:gd name="connsiteX10" fmla="*/ 0 w 8618536"/>
              <a:gd name="connsiteY10" fmla="*/ 2668736 h 2668736"/>
              <a:gd name="connsiteX11" fmla="*/ 3677 w 8618536"/>
              <a:gd name="connsiteY11" fmla="*/ 2433210 h 2668736"/>
              <a:gd name="connsiteX12" fmla="*/ 558 w 8618536"/>
              <a:gd name="connsiteY12" fmla="*/ 2427822 h 2668736"/>
              <a:gd name="connsiteX13" fmla="*/ 4190999 w 8618536"/>
              <a:gd name="connsiteY13" fmla="*/ 2333 h 2668736"/>
              <a:gd name="connsiteX14" fmla="*/ 4190999 w 8618536"/>
              <a:gd name="connsiteY14" fmla="*/ 5 h 2668736"/>
              <a:gd name="connsiteX15" fmla="*/ 4195022 w 8618536"/>
              <a:gd name="connsiteY15" fmla="*/ 5 h 2668736"/>
              <a:gd name="connsiteX16" fmla="*/ 4195027 w 8618536"/>
              <a:gd name="connsiteY16" fmla="*/ 2 h 2668736"/>
              <a:gd name="connsiteX17" fmla="*/ 4195029 w 8618536"/>
              <a:gd name="connsiteY17" fmla="*/ 5 h 2668736"/>
              <a:gd name="connsiteX18" fmla="*/ 4417001 w 8618536"/>
              <a:gd name="connsiteY18" fmla="*/ 5 h 2668736"/>
              <a:gd name="connsiteX19" fmla="*/ 4417001 w 8618536"/>
              <a:gd name="connsiteY19" fmla="*/ 369 h 2668736"/>
              <a:gd name="connsiteX20" fmla="*/ 4417215 w 8618536"/>
              <a:gd name="connsiteY20" fmla="*/ 0 h 2668736"/>
              <a:gd name="connsiteX21" fmla="*/ 4417001 w 8618536"/>
              <a:gd name="connsiteY21" fmla="*/ 261007 h 2668736"/>
              <a:gd name="connsiteX22" fmla="*/ 4410651 w 8618536"/>
              <a:gd name="connsiteY22" fmla="*/ 2262225 h 2668736"/>
              <a:gd name="connsiteX23" fmla="*/ 6044928 w 8618536"/>
              <a:gd name="connsiteY23" fmla="*/ 1203275 h 2668736"/>
              <a:gd name="connsiteX24" fmla="*/ 4417001 w 8618536"/>
              <a:gd name="connsiteY24" fmla="*/ 261007 h 2668736"/>
              <a:gd name="connsiteX25" fmla="*/ 6268587 w 8618536"/>
              <a:gd name="connsiteY25" fmla="*/ 1324844 h 2668736"/>
              <a:gd name="connsiteX26" fmla="*/ 5828997 w 8618536"/>
              <a:gd name="connsiteY26" fmla="*/ 1589390 h 2668736"/>
              <a:gd name="connsiteX27" fmla="*/ 4524951 w 8618536"/>
              <a:gd name="connsiteY27" fmla="*/ 2441941 h 2668736"/>
              <a:gd name="connsiteX28" fmla="*/ 5785622 w 8618536"/>
              <a:gd name="connsiteY28" fmla="*/ 2433210 h 2668736"/>
              <a:gd name="connsiteX29" fmla="*/ 5784003 w 8618536"/>
              <a:gd name="connsiteY29" fmla="*/ 2434184 h 2668736"/>
              <a:gd name="connsiteX30" fmla="*/ 6753171 w 8618536"/>
              <a:gd name="connsiteY30" fmla="*/ 2434184 h 2668736"/>
              <a:gd name="connsiteX31" fmla="*/ 6751553 w 8618536"/>
              <a:gd name="connsiteY31" fmla="*/ 2433210 h 2668736"/>
              <a:gd name="connsiteX32" fmla="*/ 8169849 w 8618536"/>
              <a:gd name="connsiteY32" fmla="*/ 2433210 h 2668736"/>
              <a:gd name="connsiteX33" fmla="*/ 6611755 w 8618536"/>
              <a:gd name="connsiteY33" fmla="*/ 1531363 h 2668736"/>
              <a:gd name="connsiteX34" fmla="*/ 6268587 w 8618536"/>
              <a:gd name="connsiteY34" fmla="*/ 1324844 h 2668736"/>
              <a:gd name="connsiteX35" fmla="*/ 4190999 w 8618536"/>
              <a:gd name="connsiteY35" fmla="*/ 263464 h 2668736"/>
              <a:gd name="connsiteX36" fmla="*/ 2563665 w 8618536"/>
              <a:gd name="connsiteY36" fmla="*/ 1205389 h 2668736"/>
              <a:gd name="connsiteX37" fmla="*/ 4187824 w 8618536"/>
              <a:gd name="connsiteY37" fmla="*/ 2252089 h 2668736"/>
              <a:gd name="connsiteX38" fmla="*/ 4190999 w 8618536"/>
              <a:gd name="connsiteY38" fmla="*/ 263464 h 2668736"/>
              <a:gd name="connsiteX39" fmla="*/ 2338362 w 8618536"/>
              <a:gd name="connsiteY39" fmla="*/ 1317699 h 2668736"/>
              <a:gd name="connsiteX40" fmla="*/ 1865802 w 8618536"/>
              <a:gd name="connsiteY40" fmla="*/ 1609322 h 2668736"/>
              <a:gd name="connsiteX41" fmla="*/ 442396 w 8618536"/>
              <a:gd name="connsiteY41" fmla="*/ 2433210 h 2668736"/>
              <a:gd name="connsiteX42" fmla="*/ 1855398 w 8618536"/>
              <a:gd name="connsiteY42" fmla="*/ 2433210 h 2668736"/>
              <a:gd name="connsiteX43" fmla="*/ 1853778 w 8618536"/>
              <a:gd name="connsiteY43" fmla="*/ 2434185 h 2668736"/>
              <a:gd name="connsiteX44" fmla="*/ 2822946 w 8618536"/>
              <a:gd name="connsiteY44" fmla="*/ 2434185 h 2668736"/>
              <a:gd name="connsiteX45" fmla="*/ 2821326 w 8618536"/>
              <a:gd name="connsiteY45" fmla="*/ 2433210 h 2668736"/>
              <a:gd name="connsiteX46" fmla="*/ 4063999 w 8618536"/>
              <a:gd name="connsiteY46" fmla="*/ 2423685 h 2668736"/>
              <a:gd name="connsiteX47" fmla="*/ 2822946 w 8618536"/>
              <a:gd name="connsiteY47" fmla="*/ 1609322 h 2668736"/>
              <a:gd name="connsiteX48" fmla="*/ 2338362 w 8618536"/>
              <a:gd name="connsiteY48" fmla="*/ 1317699 h 266873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</a:cxnLst>
            <a:rect l="l" t="t" r="r" b="b"/>
            <a:pathLst>
              <a:path w="8618536" h="2668736">
                <a:moveTo>
                  <a:pt x="4417215" y="0"/>
                </a:moveTo>
                <a:lnTo>
                  <a:pt x="8611683" y="2427820"/>
                </a:lnTo>
                <a:lnTo>
                  <a:pt x="8618088" y="2433210"/>
                </a:lnTo>
                <a:cubicBezTo>
                  <a:pt x="8618237" y="2509338"/>
                  <a:pt x="8618387" y="2585466"/>
                  <a:pt x="8618536" y="2661594"/>
                </a:cubicBezTo>
                <a:lnTo>
                  <a:pt x="6369626" y="2659212"/>
                </a:lnTo>
                <a:lnTo>
                  <a:pt x="6143624" y="2659212"/>
                </a:lnTo>
                <a:lnTo>
                  <a:pt x="4417001" y="2659212"/>
                </a:lnTo>
                <a:lnTo>
                  <a:pt x="4417001" y="2659213"/>
                </a:lnTo>
                <a:lnTo>
                  <a:pt x="4190999" y="2659213"/>
                </a:lnTo>
                <a:lnTo>
                  <a:pt x="4190999" y="2659212"/>
                </a:lnTo>
                <a:lnTo>
                  <a:pt x="0" y="2668736"/>
                </a:lnTo>
                <a:cubicBezTo>
                  <a:pt x="1226" y="2590227"/>
                  <a:pt x="2451" y="2511719"/>
                  <a:pt x="3677" y="2433210"/>
                </a:cubicBezTo>
                <a:lnTo>
                  <a:pt x="558" y="2427822"/>
                </a:lnTo>
                <a:lnTo>
                  <a:pt x="4190999" y="2333"/>
                </a:lnTo>
                <a:lnTo>
                  <a:pt x="4190999" y="5"/>
                </a:lnTo>
                <a:lnTo>
                  <a:pt x="4195022" y="5"/>
                </a:lnTo>
                <a:cubicBezTo>
                  <a:pt x="4195024" y="4"/>
                  <a:pt x="4195025" y="3"/>
                  <a:pt x="4195027" y="2"/>
                </a:cubicBezTo>
                <a:cubicBezTo>
                  <a:pt x="4195028" y="3"/>
                  <a:pt x="4195028" y="4"/>
                  <a:pt x="4195029" y="5"/>
                </a:cubicBezTo>
                <a:lnTo>
                  <a:pt x="4417001" y="5"/>
                </a:lnTo>
                <a:lnTo>
                  <a:pt x="4417001" y="369"/>
                </a:lnTo>
                <a:lnTo>
                  <a:pt x="4417215" y="0"/>
                </a:lnTo>
                <a:close/>
                <a:moveTo>
                  <a:pt x="4417001" y="261007"/>
                </a:moveTo>
                <a:cubicBezTo>
                  <a:pt x="4414884" y="924111"/>
                  <a:pt x="4412768" y="1599121"/>
                  <a:pt x="4410651" y="2262225"/>
                </a:cubicBezTo>
                <a:lnTo>
                  <a:pt x="6044928" y="1203275"/>
                </a:lnTo>
                <a:lnTo>
                  <a:pt x="4417001" y="261007"/>
                </a:lnTo>
                <a:close/>
                <a:moveTo>
                  <a:pt x="6268587" y="1324844"/>
                </a:moveTo>
                <a:lnTo>
                  <a:pt x="5828997" y="1589390"/>
                </a:lnTo>
                <a:lnTo>
                  <a:pt x="4524951" y="2441941"/>
                </a:lnTo>
                <a:lnTo>
                  <a:pt x="5785622" y="2433210"/>
                </a:lnTo>
                <a:lnTo>
                  <a:pt x="5784003" y="2434184"/>
                </a:lnTo>
                <a:lnTo>
                  <a:pt x="6753171" y="2434184"/>
                </a:lnTo>
                <a:lnTo>
                  <a:pt x="6751553" y="2433210"/>
                </a:lnTo>
                <a:lnTo>
                  <a:pt x="8169849" y="2433210"/>
                </a:lnTo>
                <a:lnTo>
                  <a:pt x="6611755" y="1531363"/>
                </a:lnTo>
                <a:lnTo>
                  <a:pt x="6268587" y="1324844"/>
                </a:lnTo>
                <a:close/>
                <a:moveTo>
                  <a:pt x="4190999" y="263464"/>
                </a:moveTo>
                <a:lnTo>
                  <a:pt x="2563665" y="1205389"/>
                </a:lnTo>
                <a:lnTo>
                  <a:pt x="4187824" y="2252089"/>
                </a:lnTo>
                <a:cubicBezTo>
                  <a:pt x="4188882" y="1589214"/>
                  <a:pt x="4189941" y="926339"/>
                  <a:pt x="4190999" y="263464"/>
                </a:cubicBezTo>
                <a:close/>
                <a:moveTo>
                  <a:pt x="2338362" y="1317699"/>
                </a:moveTo>
                <a:lnTo>
                  <a:pt x="1865802" y="1609322"/>
                </a:lnTo>
                <a:lnTo>
                  <a:pt x="442396" y="2433210"/>
                </a:lnTo>
                <a:lnTo>
                  <a:pt x="1855398" y="2433210"/>
                </a:lnTo>
                <a:lnTo>
                  <a:pt x="1853778" y="2434185"/>
                </a:lnTo>
                <a:lnTo>
                  <a:pt x="2822946" y="2434185"/>
                </a:lnTo>
                <a:lnTo>
                  <a:pt x="2821326" y="2433210"/>
                </a:lnTo>
                <a:lnTo>
                  <a:pt x="4063999" y="2423685"/>
                </a:lnTo>
                <a:lnTo>
                  <a:pt x="2822946" y="1609322"/>
                </a:lnTo>
                <a:lnTo>
                  <a:pt x="2338362" y="1317699"/>
                </a:lnTo>
                <a:close/>
              </a:path>
            </a:pathLst>
          </a:custGeom>
          <a:solidFill>
            <a:srgbClr val="FD3F0B"/>
          </a:solidFill>
          <a:ln w="6350" cap="rnd">
            <a:solidFill>
              <a:srgbClr val="FD3F0B"/>
            </a:solidFill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900"/>
          </a:p>
        </xdr:txBody>
      </xdr:sp>
    </xdr:grpSp>
    <xdr:clientData/>
  </xdr:twoCellAnchor>
  <xdr:twoCellAnchor editAs="oneCell">
    <xdr:from>
      <xdr:col>9</xdr:col>
      <xdr:colOff>213579</xdr:colOff>
      <xdr:row>22</xdr:row>
      <xdr:rowOff>50808</xdr:rowOff>
    </xdr:from>
    <xdr:to>
      <xdr:col>9</xdr:col>
      <xdr:colOff>400118</xdr:colOff>
      <xdr:row>22</xdr:row>
      <xdr:rowOff>237347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42879" y="5165733"/>
          <a:ext cx="186539" cy="186539"/>
        </a:xfrm>
        <a:prstGeom prst="rect">
          <a:avLst/>
        </a:prstGeom>
      </xdr:spPr>
    </xdr:pic>
    <xdr:clientData/>
  </xdr:twoCellAnchor>
  <xdr:twoCellAnchor editAs="oneCell">
    <xdr:from>
      <xdr:col>9</xdr:col>
      <xdr:colOff>95524</xdr:colOff>
      <xdr:row>34</xdr:row>
      <xdr:rowOff>90582</xdr:rowOff>
    </xdr:from>
    <xdr:to>
      <xdr:col>9</xdr:col>
      <xdr:colOff>274224</xdr:colOff>
      <xdr:row>34</xdr:row>
      <xdr:rowOff>269282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/>
      </xdr:blipFill>
      <xdr:spPr>
        <a:xfrm>
          <a:off x="5924824" y="7748682"/>
          <a:ext cx="178700" cy="17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233048</xdr:colOff>
      <xdr:row>60</xdr:row>
      <xdr:rowOff>26519</xdr:rowOff>
    </xdr:from>
    <xdr:to>
      <xdr:col>25</xdr:col>
      <xdr:colOff>140092</xdr:colOff>
      <xdr:row>79</xdr:row>
      <xdr:rowOff>89592</xdr:rowOff>
    </xdr:to>
    <xdr:sp macro="" textlink="">
      <xdr:nvSpPr>
        <xdr:cNvPr id="387" name="Retângulo: Cantos Arredondados 386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/>
      </xdr:nvSpPr>
      <xdr:spPr>
        <a:xfrm>
          <a:off x="3498762" y="8898376"/>
          <a:ext cx="9091866" cy="2866145"/>
        </a:xfrm>
        <a:prstGeom prst="roundRect">
          <a:avLst>
            <a:gd name="adj" fmla="val 5186"/>
          </a:avLst>
        </a:prstGeom>
        <a:solidFill>
          <a:srgbClr val="111315"/>
        </a:solidFill>
        <a:ln>
          <a:noFill/>
        </a:ln>
        <a:effectLst>
          <a:outerShdw blurRad="1778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 sz="1100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13</xdr:col>
      <xdr:colOff>266467</xdr:colOff>
      <xdr:row>62</xdr:row>
      <xdr:rowOff>163368</xdr:rowOff>
    </xdr:from>
    <xdr:to>
      <xdr:col>15</xdr:col>
      <xdr:colOff>456785</xdr:colOff>
      <xdr:row>78</xdr:row>
      <xdr:rowOff>145695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5493787" y="9467388"/>
          <a:ext cx="1439998" cy="2382627"/>
          <a:chOff x="5362342" y="9374043"/>
          <a:chExt cx="1409518" cy="2363577"/>
        </a:xfrm>
      </xdr:grpSpPr>
      <xdr:grpSp>
        <xdr:nvGrpSpPr>
          <xdr:cNvPr id="26" name="Agrupar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GrpSpPr/>
        </xdr:nvGrpSpPr>
        <xdr:grpSpPr>
          <a:xfrm>
            <a:off x="5362342" y="9374043"/>
            <a:ext cx="1409518" cy="2363577"/>
            <a:chOff x="5629042" y="9362032"/>
            <a:chExt cx="1847571" cy="1927272"/>
          </a:xfrm>
        </xdr:grpSpPr>
        <xdr:sp macro="" textlink="">
          <xdr:nvSpPr>
            <xdr:cNvPr id="397" name="Retângulo: Cantos Arredondados 396">
              <a:extLst>
                <a:ext uri="{FF2B5EF4-FFF2-40B4-BE49-F238E27FC236}">
                  <a16:creationId xmlns:a16="http://schemas.microsoft.com/office/drawing/2014/main" id="{00000000-0008-0000-0100-00008D010000}"/>
                </a:ext>
              </a:extLst>
            </xdr:cNvPr>
            <xdr:cNvSpPr/>
          </xdr:nvSpPr>
          <xdr:spPr>
            <a:xfrm>
              <a:off x="5629042" y="9362032"/>
              <a:ext cx="1847571" cy="1927272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404" name="Retângulo 403">
              <a:extLst>
                <a:ext uri="{FF2B5EF4-FFF2-40B4-BE49-F238E27FC236}">
                  <a16:creationId xmlns:a16="http://schemas.microsoft.com/office/drawing/2014/main" id="{00000000-0008-0000-0100-000094010000}"/>
                </a:ext>
              </a:extLst>
            </xdr:cNvPr>
            <xdr:cNvSpPr/>
          </xdr:nvSpPr>
          <xdr:spPr>
            <a:xfrm>
              <a:off x="5832359" y="9372789"/>
              <a:ext cx="1440936" cy="38143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1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Nós A e C (espelhado)</a:t>
              </a:r>
            </a:p>
          </xdr:txBody>
        </xdr:sp>
        <xdr:sp macro="" textlink="">
          <xdr:nvSpPr>
            <xdr:cNvPr id="405" name="Retângulo 404">
              <a:extLst>
                <a:ext uri="{FF2B5EF4-FFF2-40B4-BE49-F238E27FC236}">
                  <a16:creationId xmlns:a16="http://schemas.microsoft.com/office/drawing/2014/main" id="{00000000-0008-0000-0100-000095010000}"/>
                </a:ext>
              </a:extLst>
            </xdr:cNvPr>
            <xdr:cNvSpPr/>
          </xdr:nvSpPr>
          <xdr:spPr>
            <a:xfrm>
              <a:off x="5984303" y="10816385"/>
              <a:ext cx="1137048" cy="326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 </a:t>
              </a:r>
              <a:r>
                <a:rPr lang="pt-BR" sz="900" b="1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Verificação:</a:t>
              </a:r>
              <a:endParaRPr lang="pt-BR" sz="800" b="1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426" name="Imagem 425">
                <a:extLst>
                  <a:ext uri="{FF2B5EF4-FFF2-40B4-BE49-F238E27FC236}">
                    <a16:creationId xmlns:a16="http://schemas.microsoft.com/office/drawing/2014/main" id="{00000000-0008-0000-0100-0000AA01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LGC!$C$25" spid="_x0000_s330660"/>
                  </a:ext>
                </a:extLst>
              </xdr:cNvPicPr>
            </xdr:nvPicPr>
            <xdr:blipFill rotWithShape="1">
              <a:blip xmlns:r="http://schemas.openxmlformats.org/officeDocument/2006/relationships" r:embed="rId1"/>
              <a:srcRect l="4979" t="9873" r="6182" b="15992"/>
              <a:stretch>
                <a:fillRect/>
              </a:stretch>
            </xdr:blipFill>
            <xdr:spPr bwMode="auto">
              <a:xfrm>
                <a:off x="5653163" y="11520599"/>
                <a:ext cx="827877" cy="144000"/>
              </a:xfrm>
              <a:prstGeom prst="roundRect">
                <a:avLst>
                  <a:gd name="adj" fmla="val 50000"/>
                </a:avLst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 xmlns=""/>
      </mc:AlternateContent>
    </xdr:grpSp>
    <xdr:clientData/>
  </xdr:twoCellAnchor>
  <xdr:twoCellAnchor>
    <xdr:from>
      <xdr:col>15</xdr:col>
      <xdr:colOff>570011</xdr:colOff>
      <xdr:row>62</xdr:row>
      <xdr:rowOff>163366</xdr:rowOff>
    </xdr:from>
    <xdr:to>
      <xdr:col>18</xdr:col>
      <xdr:colOff>130833</xdr:colOff>
      <xdr:row>78</xdr:row>
      <xdr:rowOff>145693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7047011" y="9467386"/>
          <a:ext cx="1435342" cy="2382627"/>
          <a:chOff x="6885086" y="9374041"/>
          <a:chExt cx="1389622" cy="2363577"/>
        </a:xfrm>
      </xdr:grpSpPr>
      <xdr:grpSp>
        <xdr:nvGrpSpPr>
          <xdr:cNvPr id="406" name="Agrupar 405">
            <a:extLst>
              <a:ext uri="{FF2B5EF4-FFF2-40B4-BE49-F238E27FC236}">
                <a16:creationId xmlns:a16="http://schemas.microsoft.com/office/drawing/2014/main" id="{00000000-0008-0000-0100-000096010000}"/>
              </a:ext>
            </a:extLst>
          </xdr:cNvPr>
          <xdr:cNvGrpSpPr/>
        </xdr:nvGrpSpPr>
        <xdr:grpSpPr>
          <a:xfrm>
            <a:off x="6885086" y="9374041"/>
            <a:ext cx="1389622" cy="2363577"/>
            <a:chOff x="5629042" y="9362030"/>
            <a:chExt cx="1847571" cy="1927272"/>
          </a:xfrm>
        </xdr:grpSpPr>
        <xdr:sp macro="" textlink="">
          <xdr:nvSpPr>
            <xdr:cNvPr id="407" name="Retângulo: Cantos Arredondados 406">
              <a:extLst>
                <a:ext uri="{FF2B5EF4-FFF2-40B4-BE49-F238E27FC236}">
                  <a16:creationId xmlns:a16="http://schemas.microsoft.com/office/drawing/2014/main" id="{00000000-0008-0000-0100-000097010000}"/>
                </a:ext>
              </a:extLst>
            </xdr:cNvPr>
            <xdr:cNvSpPr/>
          </xdr:nvSpPr>
          <xdr:spPr>
            <a:xfrm>
              <a:off x="5629042" y="9362030"/>
              <a:ext cx="1847571" cy="1927272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408" name="Retângulo 407">
              <a:extLst>
                <a:ext uri="{FF2B5EF4-FFF2-40B4-BE49-F238E27FC236}">
                  <a16:creationId xmlns:a16="http://schemas.microsoft.com/office/drawing/2014/main" id="{00000000-0008-0000-0100-000098010000}"/>
                </a:ext>
              </a:extLst>
            </xdr:cNvPr>
            <xdr:cNvSpPr/>
          </xdr:nvSpPr>
          <xdr:spPr>
            <a:xfrm>
              <a:off x="5832359" y="9372789"/>
              <a:ext cx="1440936" cy="38143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1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Nós D e E </a:t>
              </a:r>
              <a:r>
                <a:rPr lang="pt-BR" sz="1100" b="1" baseline="0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 (espelhado)</a:t>
              </a:r>
              <a:endParaRPr lang="pt-BR" sz="1100" b="1">
                <a:solidFill>
                  <a:schemeClr val="bg2">
                    <a:lumMod val="90000"/>
                  </a:schemeClr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409" name="Retângulo 408">
              <a:extLst>
                <a:ext uri="{FF2B5EF4-FFF2-40B4-BE49-F238E27FC236}">
                  <a16:creationId xmlns:a16="http://schemas.microsoft.com/office/drawing/2014/main" id="{00000000-0008-0000-0100-000099010000}"/>
                </a:ext>
              </a:extLst>
            </xdr:cNvPr>
            <xdr:cNvSpPr/>
          </xdr:nvSpPr>
          <xdr:spPr>
            <a:xfrm>
              <a:off x="6009326" y="10816385"/>
              <a:ext cx="1087004" cy="326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 </a:t>
              </a:r>
              <a:r>
                <a:rPr lang="pt-BR" sz="900" b="1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Verificação:</a:t>
              </a:r>
              <a:endParaRPr lang="pt-BR" sz="800" b="1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427" name="Imagem 426">
                <a:extLst>
                  <a:ext uri="{FF2B5EF4-FFF2-40B4-BE49-F238E27FC236}">
                    <a16:creationId xmlns:a16="http://schemas.microsoft.com/office/drawing/2014/main" id="{00000000-0008-0000-0100-0000AB01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LGC!$C$49" spid="_x0000_s330661"/>
                  </a:ext>
                </a:extLst>
              </xdr:cNvPicPr>
            </xdr:nvPicPr>
            <xdr:blipFill rotWithShape="1">
              <a:blip xmlns:r="http://schemas.openxmlformats.org/officeDocument/2006/relationships" r:embed="rId2"/>
              <a:srcRect l="3978" t="10025" r="7111" b="13204"/>
              <a:stretch>
                <a:fillRect/>
              </a:stretch>
            </xdr:blipFill>
            <xdr:spPr bwMode="auto">
              <a:xfrm>
                <a:off x="7158658" y="11520599"/>
                <a:ext cx="842478" cy="144000"/>
              </a:xfrm>
              <a:prstGeom prst="roundRect">
                <a:avLst>
                  <a:gd name="adj" fmla="val 50000"/>
                </a:avLst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 xmlns=""/>
      </mc:AlternateContent>
    </xdr:grpSp>
    <xdr:clientData/>
  </xdr:twoCellAnchor>
  <xdr:twoCellAnchor>
    <xdr:from>
      <xdr:col>18</xdr:col>
      <xdr:colOff>238424</xdr:colOff>
      <xdr:row>62</xdr:row>
      <xdr:rowOff>163366</xdr:rowOff>
    </xdr:from>
    <xdr:to>
      <xdr:col>22</xdr:col>
      <xdr:colOff>556567</xdr:colOff>
      <xdr:row>78</xdr:row>
      <xdr:rowOff>145693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8589944" y="9467386"/>
          <a:ext cx="2817503" cy="2382627"/>
          <a:chOff x="8382299" y="9374041"/>
          <a:chExt cx="2756543" cy="2363577"/>
        </a:xfrm>
      </xdr:grpSpPr>
      <xdr:grpSp>
        <xdr:nvGrpSpPr>
          <xdr:cNvPr id="410" name="Agrupar 409">
            <a:extLst>
              <a:ext uri="{FF2B5EF4-FFF2-40B4-BE49-F238E27FC236}">
                <a16:creationId xmlns:a16="http://schemas.microsoft.com/office/drawing/2014/main" id="{00000000-0008-0000-0100-00009A010000}"/>
              </a:ext>
            </a:extLst>
          </xdr:cNvPr>
          <xdr:cNvGrpSpPr/>
        </xdr:nvGrpSpPr>
        <xdr:grpSpPr>
          <a:xfrm>
            <a:off x="8382299" y="9374041"/>
            <a:ext cx="2756543" cy="2363577"/>
            <a:chOff x="5629042" y="9362030"/>
            <a:chExt cx="1776894" cy="1927272"/>
          </a:xfrm>
        </xdr:grpSpPr>
        <xdr:sp macro="" textlink="">
          <xdr:nvSpPr>
            <xdr:cNvPr id="412" name="Retângulo: Cantos Arredondados 411">
              <a:extLst>
                <a:ext uri="{FF2B5EF4-FFF2-40B4-BE49-F238E27FC236}">
                  <a16:creationId xmlns:a16="http://schemas.microsoft.com/office/drawing/2014/main" id="{00000000-0008-0000-0100-00009C010000}"/>
                </a:ext>
              </a:extLst>
            </xdr:cNvPr>
            <xdr:cNvSpPr/>
          </xdr:nvSpPr>
          <xdr:spPr>
            <a:xfrm>
              <a:off x="5629042" y="9362030"/>
              <a:ext cx="1776894" cy="1927272"/>
            </a:xfrm>
            <a:prstGeom prst="roundRect">
              <a:avLst>
                <a:gd name="adj" fmla="val 8076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413" name="Retângulo 412">
              <a:extLst>
                <a:ext uri="{FF2B5EF4-FFF2-40B4-BE49-F238E27FC236}">
                  <a16:creationId xmlns:a16="http://schemas.microsoft.com/office/drawing/2014/main" id="{00000000-0008-0000-0100-00009D010000}"/>
                </a:ext>
              </a:extLst>
            </xdr:cNvPr>
            <xdr:cNvSpPr/>
          </xdr:nvSpPr>
          <xdr:spPr>
            <a:xfrm>
              <a:off x="5832359" y="9372790"/>
              <a:ext cx="1440936" cy="28442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1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 B</a:t>
              </a:r>
            </a:p>
          </xdr:txBody>
        </xdr:sp>
        <xdr:sp macro="" textlink="">
          <xdr:nvSpPr>
            <xdr:cNvPr id="414" name="Retângulo 413">
              <a:extLst>
                <a:ext uri="{FF2B5EF4-FFF2-40B4-BE49-F238E27FC236}">
                  <a16:creationId xmlns:a16="http://schemas.microsoft.com/office/drawing/2014/main" id="{00000000-0008-0000-0100-00009E010000}"/>
                </a:ext>
              </a:extLst>
            </xdr:cNvPr>
            <xdr:cNvSpPr/>
          </xdr:nvSpPr>
          <xdr:spPr>
            <a:xfrm>
              <a:off x="6230924" y="10816385"/>
              <a:ext cx="573130" cy="326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 </a:t>
              </a:r>
              <a:r>
                <a:rPr lang="pt-BR" sz="900" b="1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Verificação:</a:t>
              </a:r>
              <a:endParaRPr lang="pt-BR" sz="800" b="1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429" name="Imagem 428">
                <a:extLst>
                  <a:ext uri="{FF2B5EF4-FFF2-40B4-BE49-F238E27FC236}">
                    <a16:creationId xmlns:a16="http://schemas.microsoft.com/office/drawing/2014/main" id="{00000000-0008-0000-0100-0000AD01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LGC!$I$49" spid="_x0000_s330662"/>
                  </a:ext>
                </a:extLst>
              </xdr:cNvPicPr>
            </xdr:nvPicPr>
            <xdr:blipFill rotWithShape="1">
              <a:blip xmlns:r="http://schemas.openxmlformats.org/officeDocument/2006/relationships" r:embed="rId3"/>
              <a:srcRect l="4425" t="5686" r="6277" b="14698"/>
              <a:stretch>
                <a:fillRect/>
              </a:stretch>
            </xdr:blipFill>
            <xdr:spPr bwMode="auto">
              <a:xfrm>
                <a:off x="9352162" y="11520599"/>
                <a:ext cx="816817" cy="144000"/>
              </a:xfrm>
              <a:prstGeom prst="roundRect">
                <a:avLst>
                  <a:gd name="adj" fmla="val 50000"/>
                </a:avLst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 xmlns=""/>
      </mc:AlternateContent>
    </xdr:grpSp>
    <xdr:clientData/>
  </xdr:twoCellAnchor>
  <xdr:twoCellAnchor>
    <xdr:from>
      <xdr:col>23</xdr:col>
      <xdr:colOff>61233</xdr:colOff>
      <xdr:row>62</xdr:row>
      <xdr:rowOff>163366</xdr:rowOff>
    </xdr:from>
    <xdr:to>
      <xdr:col>24</xdr:col>
      <xdr:colOff>605534</xdr:colOff>
      <xdr:row>78</xdr:row>
      <xdr:rowOff>145693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11536953" y="9467386"/>
          <a:ext cx="1169141" cy="2382627"/>
          <a:chOff x="11253108" y="9374041"/>
          <a:chExt cx="1153901" cy="2363577"/>
        </a:xfrm>
      </xdr:grpSpPr>
      <xdr:grpSp>
        <xdr:nvGrpSpPr>
          <xdr:cNvPr id="416" name="Agrupar 415">
            <a:extLst>
              <a:ext uri="{FF2B5EF4-FFF2-40B4-BE49-F238E27FC236}">
                <a16:creationId xmlns:a16="http://schemas.microsoft.com/office/drawing/2014/main" id="{00000000-0008-0000-0100-0000A0010000}"/>
              </a:ext>
            </a:extLst>
          </xdr:cNvPr>
          <xdr:cNvGrpSpPr/>
        </xdr:nvGrpSpPr>
        <xdr:grpSpPr>
          <a:xfrm>
            <a:off x="11253108" y="9374041"/>
            <a:ext cx="1153901" cy="2363577"/>
            <a:chOff x="5629042" y="9362030"/>
            <a:chExt cx="1847571" cy="1927272"/>
          </a:xfrm>
        </xdr:grpSpPr>
        <xdr:sp macro="" textlink="">
          <xdr:nvSpPr>
            <xdr:cNvPr id="417" name="Retângulo: Cantos Arredondados 416">
              <a:extLst>
                <a:ext uri="{FF2B5EF4-FFF2-40B4-BE49-F238E27FC236}">
                  <a16:creationId xmlns:a16="http://schemas.microsoft.com/office/drawing/2014/main" id="{00000000-0008-0000-0100-0000A1010000}"/>
                </a:ext>
              </a:extLst>
            </xdr:cNvPr>
            <xdr:cNvSpPr/>
          </xdr:nvSpPr>
          <xdr:spPr>
            <a:xfrm>
              <a:off x="5629042" y="9362030"/>
              <a:ext cx="1847571" cy="1927272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422" name="Retângulo 421">
              <a:extLst>
                <a:ext uri="{FF2B5EF4-FFF2-40B4-BE49-F238E27FC236}">
                  <a16:creationId xmlns:a16="http://schemas.microsoft.com/office/drawing/2014/main" id="{00000000-0008-0000-0100-0000A6010000}"/>
                </a:ext>
              </a:extLst>
            </xdr:cNvPr>
            <xdr:cNvSpPr/>
          </xdr:nvSpPr>
          <xdr:spPr>
            <a:xfrm>
              <a:off x="5832359" y="9372790"/>
              <a:ext cx="1440936" cy="28442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1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 F</a:t>
              </a:r>
            </a:p>
          </xdr:txBody>
        </xdr:sp>
        <xdr:sp macro="" textlink="">
          <xdr:nvSpPr>
            <xdr:cNvPr id="423" name="Retângulo 422">
              <a:extLst>
                <a:ext uri="{FF2B5EF4-FFF2-40B4-BE49-F238E27FC236}">
                  <a16:creationId xmlns:a16="http://schemas.microsoft.com/office/drawing/2014/main" id="{00000000-0008-0000-0100-0000A7010000}"/>
                </a:ext>
              </a:extLst>
            </xdr:cNvPr>
            <xdr:cNvSpPr/>
          </xdr:nvSpPr>
          <xdr:spPr>
            <a:xfrm>
              <a:off x="5790931" y="10816385"/>
              <a:ext cx="1523792" cy="32615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 </a:t>
              </a:r>
              <a:r>
                <a:rPr lang="pt-BR" sz="900" b="1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Veriricação:</a:t>
              </a:r>
              <a:endParaRPr lang="pt-BR" sz="800" b="1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441" name="Imagem 440">
                <a:extLst>
                  <a:ext uri="{FF2B5EF4-FFF2-40B4-BE49-F238E27FC236}">
                    <a16:creationId xmlns:a16="http://schemas.microsoft.com/office/drawing/2014/main" id="{00000000-0008-0000-0100-0000B901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LGC!$I$25" spid="_x0000_s330663"/>
                  </a:ext>
                </a:extLst>
              </xdr:cNvPicPr>
            </xdr:nvPicPr>
            <xdr:blipFill rotWithShape="1">
              <a:blip xmlns:r="http://schemas.openxmlformats.org/officeDocument/2006/relationships" r:embed="rId4"/>
              <a:srcRect l="4798" t="8145" r="6288" b="17205"/>
              <a:stretch>
                <a:fillRect/>
              </a:stretch>
            </xdr:blipFill>
            <xdr:spPr bwMode="auto">
              <a:xfrm>
                <a:off x="11416507" y="11520599"/>
                <a:ext cx="827103" cy="144000"/>
              </a:xfrm>
              <a:prstGeom prst="roundRect">
                <a:avLst>
                  <a:gd name="adj" fmla="val 50000"/>
                </a:avLst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 xmlns=""/>
      </mc:AlternateContent>
    </xdr:grpSp>
    <xdr:clientData/>
  </xdr:twoCellAnchor>
  <xdr:twoCellAnchor>
    <xdr:from>
      <xdr:col>10</xdr:col>
      <xdr:colOff>358905</xdr:colOff>
      <xdr:row>62</xdr:row>
      <xdr:rowOff>163369</xdr:rowOff>
    </xdr:from>
    <xdr:to>
      <xdr:col>13</xdr:col>
      <xdr:colOff>156530</xdr:colOff>
      <xdr:row>78</xdr:row>
      <xdr:rowOff>122119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pSpPr/>
      </xdr:nvGrpSpPr>
      <xdr:grpSpPr>
        <a:xfrm>
          <a:off x="3711705" y="9467389"/>
          <a:ext cx="1672145" cy="2359050"/>
          <a:chOff x="3621850" y="9369250"/>
          <a:chExt cx="1881178" cy="1907168"/>
        </a:xfrm>
      </xdr:grpSpPr>
      <xdr:sp macro="" textlink="">
        <xdr:nvSpPr>
          <xdr:cNvPr id="391" name="Retângulo: Cantos Arredondados 390">
            <a:extLst>
              <a:ext uri="{FF2B5EF4-FFF2-40B4-BE49-F238E27FC236}">
                <a16:creationId xmlns:a16="http://schemas.microsoft.com/office/drawing/2014/main" id="{00000000-0008-0000-0100-000087010000}"/>
              </a:ext>
            </a:extLst>
          </xdr:cNvPr>
          <xdr:cNvSpPr/>
        </xdr:nvSpPr>
        <xdr:spPr>
          <a:xfrm>
            <a:off x="3621850" y="9369250"/>
            <a:ext cx="1881178" cy="1907168"/>
          </a:xfrm>
          <a:prstGeom prst="roundRect">
            <a:avLst>
              <a:gd name="adj" fmla="val 10613"/>
            </a:avLst>
          </a:prstGeom>
          <a:solidFill>
            <a:srgbClr val="1D2125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 defTabSz="914400" rtl="0" eaLnBrk="1" latinLnBrk="0" hangingPunct="1"/>
            <a:endParaRPr lang="pt-BR" sz="1100" kern="1200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">
        <xdr:nvSpPr>
          <xdr:cNvPr id="396" name="Retângulo 395">
            <a:extLst>
              <a:ext uri="{FF2B5EF4-FFF2-40B4-BE49-F238E27FC236}">
                <a16:creationId xmlns:a16="http://schemas.microsoft.com/office/drawing/2014/main" id="{00000000-0008-0000-0100-00008C010000}"/>
              </a:ext>
            </a:extLst>
          </xdr:cNvPr>
          <xdr:cNvSpPr/>
        </xdr:nvSpPr>
        <xdr:spPr>
          <a:xfrm>
            <a:off x="3842588" y="9369250"/>
            <a:ext cx="1439704" cy="28442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solidFill>
                  <a:schemeClr val="bg2">
                    <a:lumMod val="90000"/>
                  </a:schemeClr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Nós da Treliça</a:t>
            </a:r>
          </a:p>
        </xdr:txBody>
      </xdr:sp>
    </xdr:grpSp>
    <xdr:clientData/>
  </xdr:twoCellAnchor>
  <xdr:twoCellAnchor>
    <xdr:from>
      <xdr:col>10</xdr:col>
      <xdr:colOff>479534</xdr:colOff>
      <xdr:row>70</xdr:row>
      <xdr:rowOff>45982</xdr:rowOff>
    </xdr:from>
    <xdr:to>
      <xdr:col>13</xdr:col>
      <xdr:colOff>0</xdr:colOff>
      <xdr:row>76</xdr:row>
      <xdr:rowOff>115957</xdr:rowOff>
    </xdr:to>
    <xdr:grpSp>
      <xdr:nvGrpSpPr>
        <xdr:cNvPr id="29715" name="Agrupar 29714">
          <a:extLst>
            <a:ext uri="{FF2B5EF4-FFF2-40B4-BE49-F238E27FC236}">
              <a16:creationId xmlns:a16="http://schemas.microsoft.com/office/drawing/2014/main" id="{00000000-0008-0000-0100-000013740000}"/>
            </a:ext>
          </a:extLst>
        </xdr:cNvPr>
        <xdr:cNvGrpSpPr/>
      </xdr:nvGrpSpPr>
      <xdr:grpSpPr>
        <a:xfrm>
          <a:off x="3832334" y="10485382"/>
          <a:ext cx="1394986" cy="953895"/>
          <a:chOff x="3744594" y="10363206"/>
          <a:chExt cx="1347618" cy="949205"/>
        </a:xfrm>
      </xdr:grpSpPr>
      <xdr:sp macro="" textlink="">
        <xdr:nvSpPr>
          <xdr:cNvPr id="786" name="Retângulo: Cantos Arredondados 785">
            <a:extLst>
              <a:ext uri="{FF2B5EF4-FFF2-40B4-BE49-F238E27FC236}">
                <a16:creationId xmlns:a16="http://schemas.microsoft.com/office/drawing/2014/main" id="{00000000-0008-0000-0100-000012030000}"/>
              </a:ext>
            </a:extLst>
          </xdr:cNvPr>
          <xdr:cNvSpPr/>
        </xdr:nvSpPr>
        <xdr:spPr>
          <a:xfrm>
            <a:off x="3935561" y="10601378"/>
            <a:ext cx="1122172" cy="150149"/>
          </a:xfrm>
          <a:prstGeom prst="roundRect">
            <a:avLst>
              <a:gd name="adj" fmla="val 25437"/>
            </a:avLst>
          </a:prstGeom>
          <a:solidFill>
            <a:schemeClr val="bg1">
              <a:lumMod val="75000"/>
            </a:schemeClr>
          </a:solidFill>
          <a:ln w="38100"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0" rIns="0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700" b="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415" name="Retângulo 414">
            <a:extLst>
              <a:ext uri="{FF2B5EF4-FFF2-40B4-BE49-F238E27FC236}">
                <a16:creationId xmlns:a16="http://schemas.microsoft.com/office/drawing/2014/main" id="{00000000-0008-0000-0100-00009F010000}"/>
              </a:ext>
            </a:extLst>
          </xdr:cNvPr>
          <xdr:cNvSpPr/>
        </xdr:nvSpPr>
        <xdr:spPr>
          <a:xfrm>
            <a:off x="3744594" y="10363206"/>
            <a:ext cx="1347618" cy="9492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pt-BR" sz="1000" b="1">
                <a:solidFill>
                  <a:schemeClr val="bg1">
                    <a:lumMod val="75000"/>
                  </a:schemeClr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As</a:t>
            </a:r>
            <a:r>
              <a:rPr lang="pt-BR" sz="1000" b="1" baseline="0">
                <a:solidFill>
                  <a:schemeClr val="bg1">
                    <a:lumMod val="75000"/>
                  </a:schemeClr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cotas representam as</a:t>
            </a:r>
            <a:r>
              <a:rPr lang="pt-BR" sz="1000" b="1" baseline="0">
                <a:solidFill>
                  <a:srgbClr val="1D2125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</a:t>
            </a:r>
            <a:r>
              <a:rPr lang="pt-BR" sz="1000" b="1" u="none" baseline="0">
                <a:solidFill>
                  <a:srgbClr val="1D2125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distâncias mínimas </a:t>
            </a:r>
            <a:r>
              <a:rPr lang="pt-BR" sz="1000" b="1" baseline="0">
                <a:solidFill>
                  <a:schemeClr val="bg1">
                    <a:lumMod val="75000"/>
                  </a:schemeClr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que satisfazem as verificações para as ligações adotadas.</a:t>
            </a:r>
            <a:endParaRPr lang="pt-BR" sz="1000" b="1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10</xdr:col>
      <xdr:colOff>228599</xdr:colOff>
      <xdr:row>20</xdr:row>
      <xdr:rowOff>57655</xdr:rowOff>
    </xdr:from>
    <xdr:to>
      <xdr:col>25</xdr:col>
      <xdr:colOff>142875</xdr:colOff>
      <xdr:row>58</xdr:row>
      <xdr:rowOff>128005</xdr:rowOff>
    </xdr:to>
    <xdr:sp macro="" textlink="">
      <xdr:nvSpPr>
        <xdr:cNvPr id="428" name="Retângulo: Cantos Arredondados 42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/>
      </xdr:nvSpPr>
      <xdr:spPr>
        <a:xfrm>
          <a:off x="3495674" y="3191380"/>
          <a:ext cx="9058276" cy="5652000"/>
        </a:xfrm>
        <a:prstGeom prst="roundRect">
          <a:avLst>
            <a:gd name="adj" fmla="val 3123"/>
          </a:avLst>
        </a:prstGeom>
        <a:solidFill>
          <a:srgbClr val="111315"/>
        </a:solidFill>
        <a:ln>
          <a:noFill/>
        </a:ln>
        <a:effectLst>
          <a:outerShdw blurRad="1778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 sz="1100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102291</xdr:colOff>
          <xdr:row>20</xdr:row>
          <xdr:rowOff>158772</xdr:rowOff>
        </xdr:from>
        <xdr:to>
          <xdr:col>25</xdr:col>
          <xdr:colOff>262398</xdr:colOff>
          <xdr:row>60</xdr:row>
          <xdr:rowOff>96672</xdr:rowOff>
        </xdr:to>
        <xdr:grpSp>
          <xdr:nvGrpSpPr>
            <xdr:cNvPr id="17" name="Agrupar 16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GrpSpPr/>
          </xdr:nvGrpSpPr>
          <xdr:grpSpPr>
            <a:xfrm>
              <a:off x="3455091" y="3313452"/>
              <a:ext cx="9532707" cy="5835780"/>
              <a:chOff x="3369366" y="3292497"/>
              <a:chExt cx="9304107" cy="5767200"/>
            </a:xfrm>
          </xdr:grpSpPr>
          <xdr:grpSp>
            <xdr:nvGrpSpPr>
              <xdr:cNvPr id="2" name="Agrupar 1">
                <a:extLst>
                  <a:ext uri="{FF2B5EF4-FFF2-40B4-BE49-F238E27FC236}">
                    <a16:creationId xmlns:a16="http://schemas.microsoft.com/office/drawing/2014/main" id="{00000000-0008-0000-0100-000002000000}"/>
                  </a:ext>
                </a:extLst>
              </xdr:cNvPr>
              <xdr:cNvGrpSpPr/>
            </xdr:nvGrpSpPr>
            <xdr:grpSpPr>
              <a:xfrm>
                <a:off x="3369366" y="3292497"/>
                <a:ext cx="2613600" cy="5767200"/>
                <a:chOff x="3176043" y="15554325"/>
                <a:chExt cx="2593052" cy="5749818"/>
              </a:xfrm>
            </xdr:grpSpPr>
            <xdr:pic>
              <xdr:nvPicPr>
                <xdr:cNvPr id="656" name="Imagem 655">
                  <a:extLst>
                    <a:ext uri="{FF2B5EF4-FFF2-40B4-BE49-F238E27FC236}">
                      <a16:creationId xmlns:a16="http://schemas.microsoft.com/office/drawing/2014/main" id="{00000000-0008-0000-0100-000090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F$48" spid="_x0000_s330664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6"/>
                <a:srcRect l="2920" t="3795" r="3795" b="2920"/>
                <a:stretch>
                  <a:fillRect/>
                </a:stretch>
              </xdr:blipFill>
              <xdr:spPr bwMode="auto">
                <a:xfrm>
                  <a:off x="3176043" y="15554325"/>
                  <a:ext cx="2593052" cy="5749818"/>
                </a:xfrm>
                <a:prstGeom prst="roundRect">
                  <a:avLst>
                    <a:gd name="adj" fmla="val 11019"/>
                  </a:avLst>
                </a:prstGeom>
                <a:noFill/>
                <a:effectLst>
                  <a:softEdge rad="317500"/>
                </a:effectLst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613" name="Imagem 612">
                  <a:extLst>
                    <a:ext uri="{FF2B5EF4-FFF2-40B4-BE49-F238E27FC236}">
                      <a16:creationId xmlns:a16="http://schemas.microsoft.com/office/drawing/2014/main" id="{00000000-0008-0000-0100-000065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F$48" spid="_x0000_s330665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6"/>
                <a:srcRect l="2920" t="3795" r="3795" b="2920"/>
                <a:stretch>
                  <a:fillRect/>
                </a:stretch>
              </xdr:blipFill>
              <xdr:spPr bwMode="auto">
                <a:xfrm>
                  <a:off x="3393239" y="15801975"/>
                  <a:ext cx="2158660" cy="5216416"/>
                </a:xfrm>
                <a:prstGeom prst="roundRect">
                  <a:avLst>
                    <a:gd name="adj" fmla="val 11019"/>
                  </a:avLst>
                </a:prstGeom>
                <a:noFill/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  <xdr:grpSp>
            <xdr:nvGrpSpPr>
              <xdr:cNvPr id="3" name="Agrupar 2">
                <a:extLst>
                  <a:ext uri="{FF2B5EF4-FFF2-40B4-BE49-F238E27FC236}">
                    <a16:creationId xmlns:a16="http://schemas.microsoft.com/office/drawing/2014/main" id="{00000000-0008-0000-0100-000003000000}"/>
                  </a:ext>
                </a:extLst>
              </xdr:cNvPr>
              <xdr:cNvGrpSpPr/>
            </xdr:nvGrpSpPr>
            <xdr:grpSpPr>
              <a:xfrm>
                <a:off x="5591335" y="3292497"/>
                <a:ext cx="2613600" cy="5767200"/>
                <a:chOff x="5409323" y="15554325"/>
                <a:chExt cx="2615490" cy="5749818"/>
              </a:xfrm>
            </xdr:grpSpPr>
            <xdr:pic>
              <xdr:nvPicPr>
                <xdr:cNvPr id="657" name="Imagem 656">
                  <a:extLst>
                    <a:ext uri="{FF2B5EF4-FFF2-40B4-BE49-F238E27FC236}">
                      <a16:creationId xmlns:a16="http://schemas.microsoft.com/office/drawing/2014/main" id="{00000000-0008-0000-0100-000091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H$48" spid="_x0000_s330666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7"/>
                <a:srcRect l="5435" t="3131" r="6096" b="8399"/>
                <a:stretch>
                  <a:fillRect/>
                </a:stretch>
              </xdr:blipFill>
              <xdr:spPr bwMode="auto">
                <a:xfrm>
                  <a:off x="5409323" y="15554325"/>
                  <a:ext cx="2615490" cy="5749818"/>
                </a:xfrm>
                <a:prstGeom prst="roundRect">
                  <a:avLst>
                    <a:gd name="adj" fmla="val 11216"/>
                  </a:avLst>
                </a:prstGeom>
                <a:noFill/>
                <a:effectLst>
                  <a:softEdge rad="317500"/>
                </a:effectLst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614" name="Imagem 613">
                  <a:extLst>
                    <a:ext uri="{FF2B5EF4-FFF2-40B4-BE49-F238E27FC236}">
                      <a16:creationId xmlns:a16="http://schemas.microsoft.com/office/drawing/2014/main" id="{00000000-0008-0000-0100-000066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H$48" spid="_x0000_s330667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7"/>
                <a:srcRect l="5435" t="3131" r="6096" b="8399"/>
                <a:stretch>
                  <a:fillRect/>
                </a:stretch>
              </xdr:blipFill>
              <xdr:spPr bwMode="auto">
                <a:xfrm>
                  <a:off x="5628398" y="15801975"/>
                  <a:ext cx="2177340" cy="5216416"/>
                </a:xfrm>
                <a:prstGeom prst="roundRect">
                  <a:avLst>
                    <a:gd name="adj" fmla="val 11216"/>
                  </a:avLst>
                </a:prstGeom>
                <a:noFill/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  <xdr:grpSp>
            <xdr:nvGrpSpPr>
              <xdr:cNvPr id="5" name="Agrupar 4">
                <a:extLst>
                  <a:ext uri="{FF2B5EF4-FFF2-40B4-BE49-F238E27FC236}">
                    <a16:creationId xmlns:a16="http://schemas.microsoft.com/office/drawing/2014/main" id="{00000000-0008-0000-0100-000005000000}"/>
                  </a:ext>
                </a:extLst>
              </xdr:cNvPr>
              <xdr:cNvGrpSpPr/>
            </xdr:nvGrpSpPr>
            <xdr:grpSpPr>
              <a:xfrm>
                <a:off x="7824619" y="3292497"/>
                <a:ext cx="2614449" cy="5767200"/>
                <a:chOff x="7661985" y="15554325"/>
                <a:chExt cx="2615490" cy="5749818"/>
              </a:xfrm>
            </xdr:grpSpPr>
            <xdr:pic>
              <xdr:nvPicPr>
                <xdr:cNvPr id="658" name="Imagem 657">
                  <a:extLst>
                    <a:ext uri="{FF2B5EF4-FFF2-40B4-BE49-F238E27FC236}">
                      <a16:creationId xmlns:a16="http://schemas.microsoft.com/office/drawing/2014/main" id="{00000000-0008-0000-0100-000092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J$48" spid="_x0000_s330668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8"/>
                <a:srcRect l="2639" t="3243" r="3243" b="2639"/>
                <a:stretch>
                  <a:fillRect/>
                </a:stretch>
              </xdr:blipFill>
              <xdr:spPr bwMode="auto">
                <a:xfrm>
                  <a:off x="7661985" y="15554325"/>
                  <a:ext cx="2615490" cy="5749818"/>
                </a:xfrm>
                <a:prstGeom prst="roundRect">
                  <a:avLst>
                    <a:gd name="adj" fmla="val 11605"/>
                  </a:avLst>
                </a:prstGeom>
                <a:noFill/>
                <a:effectLst>
                  <a:softEdge rad="317500"/>
                </a:effectLst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615" name="Imagem 614">
                  <a:extLst>
                    <a:ext uri="{FF2B5EF4-FFF2-40B4-BE49-F238E27FC236}">
                      <a16:creationId xmlns:a16="http://schemas.microsoft.com/office/drawing/2014/main" id="{00000000-0008-0000-0100-000067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J$48" spid="_x0000_s330669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8"/>
                <a:srcRect l="2639" t="3243" r="3243" b="2639"/>
                <a:stretch>
                  <a:fillRect/>
                </a:stretch>
              </xdr:blipFill>
              <xdr:spPr bwMode="auto">
                <a:xfrm>
                  <a:off x="7881060" y="15801975"/>
                  <a:ext cx="2177340" cy="5216416"/>
                </a:xfrm>
                <a:prstGeom prst="roundRect">
                  <a:avLst>
                    <a:gd name="adj" fmla="val 11605"/>
                  </a:avLst>
                </a:prstGeom>
                <a:noFill/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  <xdr:grpSp>
            <xdr:nvGrpSpPr>
              <xdr:cNvPr id="6" name="Agrupar 5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GrpSpPr/>
            </xdr:nvGrpSpPr>
            <xdr:grpSpPr>
              <a:xfrm>
                <a:off x="10060748" y="3292497"/>
                <a:ext cx="2612725" cy="5767200"/>
                <a:chOff x="9881310" y="15554325"/>
                <a:chExt cx="2615490" cy="5749818"/>
              </a:xfrm>
            </xdr:grpSpPr>
            <xdr:pic>
              <xdr:nvPicPr>
                <xdr:cNvPr id="659" name="Imagem 658">
                  <a:extLst>
                    <a:ext uri="{FF2B5EF4-FFF2-40B4-BE49-F238E27FC236}">
                      <a16:creationId xmlns:a16="http://schemas.microsoft.com/office/drawing/2014/main" id="{00000000-0008-0000-0100-000093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L$48" spid="_x0000_s330670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7"/>
                <a:srcRect l="2211" t="2345" r="2345" b="2211"/>
                <a:stretch>
                  <a:fillRect/>
                </a:stretch>
              </xdr:blipFill>
              <xdr:spPr bwMode="auto">
                <a:xfrm>
                  <a:off x="9881310" y="15554325"/>
                  <a:ext cx="2615490" cy="5749818"/>
                </a:xfrm>
                <a:prstGeom prst="roundRect">
                  <a:avLst>
                    <a:gd name="adj" fmla="val 11411"/>
                  </a:avLst>
                </a:prstGeom>
                <a:noFill/>
                <a:effectLst>
                  <a:softEdge rad="317500"/>
                </a:effectLst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616" name="Imagem 615">
                  <a:extLst>
                    <a:ext uri="{FF2B5EF4-FFF2-40B4-BE49-F238E27FC236}">
                      <a16:creationId xmlns:a16="http://schemas.microsoft.com/office/drawing/2014/main" id="{00000000-0008-0000-0100-000068020000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AXD!$AL$48" spid="_x0000_s330671"/>
                    </a:ext>
                  </a:extLst>
                </xdr:cNvPicPr>
              </xdr:nvPicPr>
              <xdr:blipFill rotWithShape="1">
                <a:blip xmlns:r="http://schemas.openxmlformats.org/officeDocument/2006/relationships" r:embed="rId7"/>
                <a:srcRect l="2211" t="2345" r="2345" b="2211"/>
                <a:stretch>
                  <a:fillRect/>
                </a:stretch>
              </xdr:blipFill>
              <xdr:spPr bwMode="auto">
                <a:xfrm>
                  <a:off x="10100385" y="15801975"/>
                  <a:ext cx="2177340" cy="5216416"/>
                </a:xfrm>
                <a:prstGeom prst="roundRect">
                  <a:avLst>
                    <a:gd name="adj" fmla="val 11411"/>
                  </a:avLst>
                </a:prstGeom>
                <a:noFill/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  <xdr:clientData/>
      </xdr:twoCellAnchor>
    </mc:Choice>
    <mc:Fallback/>
  </mc:AlternateContent>
  <xdr:twoCellAnchor>
    <xdr:from>
      <xdr:col>21</xdr:col>
      <xdr:colOff>343427</xdr:colOff>
      <xdr:row>23</xdr:row>
      <xdr:rowOff>37166</xdr:rowOff>
    </xdr:from>
    <xdr:to>
      <xdr:col>24</xdr:col>
      <xdr:colOff>607661</xdr:colOff>
      <xdr:row>58</xdr:row>
      <xdr:rowOff>9828</xdr:rowOff>
    </xdr:to>
    <xdr:sp macro="" textlink="">
      <xdr:nvSpPr>
        <xdr:cNvPr id="475" name="Retângulo: Cantos Arredondados 47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/>
      </xdr:nvSpPr>
      <xdr:spPr>
        <a:xfrm>
          <a:off x="10304712" y="3594054"/>
          <a:ext cx="2092634" cy="5108169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144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21</xdr:col>
      <xdr:colOff>491799</xdr:colOff>
      <xdr:row>23</xdr:row>
      <xdr:rowOff>41126</xdr:rowOff>
    </xdr:from>
    <xdr:to>
      <xdr:col>24</xdr:col>
      <xdr:colOff>461138</xdr:colOff>
      <xdr:row>24</xdr:row>
      <xdr:rowOff>76070</xdr:rowOff>
    </xdr:to>
    <xdr:sp macro="" textlink="">
      <xdr:nvSpPr>
        <xdr:cNvPr id="476" name="Retângulo 4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/>
      </xdr:nvSpPr>
      <xdr:spPr>
        <a:xfrm>
          <a:off x="10473999" y="3614906"/>
          <a:ext cx="1798139" cy="28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Treliças</a:t>
          </a:r>
        </a:p>
      </xdr:txBody>
    </xdr:sp>
    <xdr:clientData/>
  </xdr:twoCellAnchor>
  <xdr:twoCellAnchor>
    <xdr:from>
      <xdr:col>21</xdr:col>
      <xdr:colOff>401892</xdr:colOff>
      <xdr:row>24</xdr:row>
      <xdr:rowOff>35789</xdr:rowOff>
    </xdr:from>
    <xdr:to>
      <xdr:col>24</xdr:col>
      <xdr:colOff>551045</xdr:colOff>
      <xdr:row>26</xdr:row>
      <xdr:rowOff>50455</xdr:rowOff>
    </xdr:to>
    <xdr:sp macro="" textlink="">
      <xdr:nvSpPr>
        <xdr:cNvPr id="480" name="Retângulo 47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/>
      </xdr:nvSpPr>
      <xdr:spPr>
        <a:xfrm>
          <a:off x="10384092" y="3857219"/>
          <a:ext cx="1977953" cy="26231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Solicitação</a:t>
          </a:r>
          <a:r>
            <a:rPr lang="pt-BR" sz="1050" b="1" baseline="0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mais Crítica</a:t>
          </a:r>
          <a:endParaRPr lang="pt-BR" sz="800">
            <a:solidFill>
              <a:schemeClr val="bg1">
                <a:lumMod val="85000"/>
              </a:schemeClr>
            </a:solidFill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21</xdr:col>
      <xdr:colOff>401892</xdr:colOff>
      <xdr:row>38</xdr:row>
      <xdr:rowOff>135220</xdr:rowOff>
    </xdr:from>
    <xdr:to>
      <xdr:col>24</xdr:col>
      <xdr:colOff>551045</xdr:colOff>
      <xdr:row>40</xdr:row>
      <xdr:rowOff>52741</xdr:rowOff>
    </xdr:to>
    <xdr:sp macro="" textlink="">
      <xdr:nvSpPr>
        <xdr:cNvPr id="481" name="Retângulo 48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/>
      </xdr:nvSpPr>
      <xdr:spPr>
        <a:xfrm>
          <a:off x="10384092" y="5937850"/>
          <a:ext cx="1977953" cy="1651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Verificações</a:t>
          </a:r>
          <a:endParaRPr lang="pt-BR" sz="1000"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22</xdr:col>
      <xdr:colOff>73218</xdr:colOff>
      <xdr:row>36</xdr:row>
      <xdr:rowOff>10193</xdr:rowOff>
    </xdr:from>
    <xdr:to>
      <xdr:col>24</xdr:col>
      <xdr:colOff>265229</xdr:colOff>
      <xdr:row>38</xdr:row>
      <xdr:rowOff>14330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665018" y="5508023"/>
          <a:ext cx="1411211" cy="308937"/>
        </a:xfrm>
        <a:prstGeom prst="roundRect">
          <a:avLst>
            <a:gd name="adj" fmla="val 17396"/>
          </a:avLst>
        </a:prstGeom>
        <a:solidFill>
          <a:srgbClr val="1D2125"/>
        </a:solidFill>
        <a:ln w="19050">
          <a:gradFill flip="none" rotWithShape="1">
            <a:gsLst>
              <a:gs pos="0">
                <a:srgbClr val="FF2929"/>
              </a:gs>
              <a:gs pos="100000">
                <a:srgbClr val="FD3F0B"/>
              </a:gs>
            </a:gsLst>
            <a:lin ang="18900000" scaled="1"/>
            <a:tileRect/>
          </a:gra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22</xdr:col>
      <xdr:colOff>73218</xdr:colOff>
      <xdr:row>36</xdr:row>
      <xdr:rowOff>12059</xdr:rowOff>
    </xdr:from>
    <xdr:to>
      <xdr:col>24</xdr:col>
      <xdr:colOff>265229</xdr:colOff>
      <xdr:row>37</xdr:row>
      <xdr:rowOff>92939</xdr:rowOff>
    </xdr:to>
    <xdr:sp macro="" textlink="">
      <xdr:nvSpPr>
        <xdr:cNvPr id="505" name="Retângulo: Cantos Superiores Arredondados 504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/>
      </xdr:nvSpPr>
      <xdr:spPr>
        <a:xfrm>
          <a:off x="10665018" y="5509889"/>
          <a:ext cx="1411211" cy="138030"/>
        </a:xfrm>
        <a:prstGeom prst="round2SameRect">
          <a:avLst>
            <a:gd name="adj1" fmla="val 40068"/>
            <a:gd name="adj2" fmla="val 0"/>
          </a:avLst>
        </a:prstGeom>
        <a:gradFill>
          <a:gsLst>
            <a:gs pos="100000">
              <a:srgbClr val="FD3F0B"/>
            </a:gs>
            <a:gs pos="0">
              <a:srgbClr val="FF2929"/>
            </a:gs>
          </a:gsLst>
          <a:lin ang="0" scaled="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146354</xdr:colOff>
      <xdr:row>23</xdr:row>
      <xdr:rowOff>37165</xdr:rowOff>
    </xdr:from>
    <xdr:to>
      <xdr:col>17</xdr:col>
      <xdr:colOff>409950</xdr:colOff>
      <xdr:row>58</xdr:row>
      <xdr:rowOff>9826</xdr:rowOff>
    </xdr:to>
    <xdr:sp macro="" textlink="">
      <xdr:nvSpPr>
        <xdr:cNvPr id="442" name="Retângulo: Cantos Arredondados 44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/>
      </xdr:nvSpPr>
      <xdr:spPr>
        <a:xfrm>
          <a:off x="5851829" y="3599515"/>
          <a:ext cx="2092396" cy="5125686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293478</xdr:colOff>
      <xdr:row>23</xdr:row>
      <xdr:rowOff>39107</xdr:rowOff>
    </xdr:from>
    <xdr:to>
      <xdr:col>17</xdr:col>
      <xdr:colOff>262826</xdr:colOff>
      <xdr:row>24</xdr:row>
      <xdr:rowOff>74072</xdr:rowOff>
    </xdr:to>
    <xdr:sp macro="" textlink="">
      <xdr:nvSpPr>
        <xdr:cNvPr id="443" name="Retângulo 442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/>
      </xdr:nvSpPr>
      <xdr:spPr>
        <a:xfrm>
          <a:off x="5984901" y="3580332"/>
          <a:ext cx="1794187" cy="2848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Caibros</a:t>
          </a:r>
        </a:p>
      </xdr:txBody>
    </xdr:sp>
    <xdr:clientData/>
  </xdr:twoCellAnchor>
  <xdr:twoCellAnchor>
    <xdr:from>
      <xdr:col>14</xdr:col>
      <xdr:colOff>203769</xdr:colOff>
      <xdr:row>24</xdr:row>
      <xdr:rowOff>34040</xdr:rowOff>
    </xdr:from>
    <xdr:to>
      <xdr:col>17</xdr:col>
      <xdr:colOff>352536</xdr:colOff>
      <xdr:row>26</xdr:row>
      <xdr:rowOff>46592</xdr:rowOff>
    </xdr:to>
    <xdr:sp macro="" textlink="">
      <xdr:nvSpPr>
        <xdr:cNvPr id="444" name="Retângulo 443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/>
      </xdr:nvSpPr>
      <xdr:spPr>
        <a:xfrm>
          <a:off x="5895192" y="3825179"/>
          <a:ext cx="1973606" cy="257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Solicitação</a:t>
          </a:r>
          <a:r>
            <a:rPr lang="pt-BR" sz="1050" b="1" baseline="0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mais Crítica</a:t>
          </a:r>
          <a:endParaRPr lang="pt-BR" sz="800">
            <a:solidFill>
              <a:schemeClr val="bg1">
                <a:lumMod val="85000"/>
              </a:schemeClr>
            </a:solidFill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203769</xdr:colOff>
      <xdr:row>38</xdr:row>
      <xdr:rowOff>133676</xdr:rowOff>
    </xdr:from>
    <xdr:to>
      <xdr:col>17</xdr:col>
      <xdr:colOff>352536</xdr:colOff>
      <xdr:row>40</xdr:row>
      <xdr:rowOff>50775</xdr:rowOff>
    </xdr:to>
    <xdr:sp macro="" textlink="">
      <xdr:nvSpPr>
        <xdr:cNvPr id="445" name="Retângulo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/>
      </xdr:nvSpPr>
      <xdr:spPr>
        <a:xfrm>
          <a:off x="5895192" y="5895829"/>
          <a:ext cx="1973606" cy="1622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Verificações</a:t>
          </a:r>
          <a:endParaRPr lang="pt-BR" sz="1000"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488407</xdr:colOff>
      <xdr:row>36</xdr:row>
      <xdr:rowOff>7554</xdr:rowOff>
    </xdr:from>
    <xdr:to>
      <xdr:col>17</xdr:col>
      <xdr:colOff>67898</xdr:colOff>
      <xdr:row>38</xdr:row>
      <xdr:rowOff>7998</xdr:rowOff>
    </xdr:to>
    <xdr:grpSp>
      <xdr:nvGrpSpPr>
        <xdr:cNvPr id="398" name="Agrupar 397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GrpSpPr/>
      </xdr:nvGrpSpPr>
      <xdr:grpSpPr>
        <a:xfrm>
          <a:off x="6340567" y="5539674"/>
          <a:ext cx="1454011" cy="312864"/>
          <a:chOff x="10708795" y="5420478"/>
          <a:chExt cx="1378618" cy="332121"/>
        </a:xfrm>
      </xdr:grpSpPr>
      <xdr:sp macro="" textlink="">
        <xdr:nvSpPr>
          <xdr:cNvPr id="399" name="Retângulo: Cantos Arredondados 398">
            <a:extLst>
              <a:ext uri="{FF2B5EF4-FFF2-40B4-BE49-F238E27FC236}">
                <a16:creationId xmlns:a16="http://schemas.microsoft.com/office/drawing/2014/main" id="{00000000-0008-0000-0100-00008F010000}"/>
              </a:ext>
            </a:extLst>
          </xdr:cNvPr>
          <xdr:cNvSpPr/>
        </xdr:nvSpPr>
        <xdr:spPr>
          <a:xfrm>
            <a:off x="10708795" y="5420478"/>
            <a:ext cx="1378618" cy="332121"/>
          </a:xfrm>
          <a:prstGeom prst="roundRect">
            <a:avLst>
              <a:gd name="adj" fmla="val 17396"/>
            </a:avLst>
          </a:prstGeom>
          <a:solidFill>
            <a:srgbClr val="1D2125"/>
          </a:solidFill>
          <a:ln w="19050">
            <a:gradFill flip="none" rotWithShape="1">
              <a:gsLst>
                <a:gs pos="0">
                  <a:srgbClr val="FF2929"/>
                </a:gs>
                <a:gs pos="100000">
                  <a:srgbClr val="FD3F0B"/>
                </a:gs>
              </a:gsLst>
              <a:lin ang="18900000" scaled="1"/>
              <a:tileRect/>
            </a:gra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400" name="Retângulo: Cantos Superiores Arredondados 399">
            <a:extLst>
              <a:ext uri="{FF2B5EF4-FFF2-40B4-BE49-F238E27FC236}">
                <a16:creationId xmlns:a16="http://schemas.microsoft.com/office/drawing/2014/main" id="{00000000-0008-0000-0100-000090010000}"/>
              </a:ext>
            </a:extLst>
          </xdr:cNvPr>
          <xdr:cNvSpPr/>
        </xdr:nvSpPr>
        <xdr:spPr>
          <a:xfrm>
            <a:off x="10708795" y="5422484"/>
            <a:ext cx="1378618" cy="148388"/>
          </a:xfrm>
          <a:prstGeom prst="round2SameRect">
            <a:avLst>
              <a:gd name="adj1" fmla="val 40068"/>
              <a:gd name="adj2" fmla="val 0"/>
            </a:avLst>
          </a:prstGeom>
          <a:gradFill>
            <a:gsLst>
              <a:gs pos="100000">
                <a:srgbClr val="FD3F0B"/>
              </a:gs>
              <a:gs pos="0">
                <a:srgbClr val="FF2929"/>
              </a:gs>
            </a:gsLst>
            <a:lin ang="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17</xdr:col>
      <xdr:colOff>549927</xdr:colOff>
      <xdr:row>23</xdr:row>
      <xdr:rowOff>37165</xdr:rowOff>
    </xdr:from>
    <xdr:to>
      <xdr:col>21</xdr:col>
      <xdr:colOff>205283</xdr:colOff>
      <xdr:row>58</xdr:row>
      <xdr:rowOff>9827</xdr:rowOff>
    </xdr:to>
    <xdr:sp macro="" textlink="">
      <xdr:nvSpPr>
        <xdr:cNvPr id="430" name="Retângulo: Cantos Arredondados 429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/>
      </xdr:nvSpPr>
      <xdr:spPr>
        <a:xfrm>
          <a:off x="8080822" y="3610576"/>
          <a:ext cx="2088840" cy="5149961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18</xdr:col>
      <xdr:colOff>88708</xdr:colOff>
      <xdr:row>23</xdr:row>
      <xdr:rowOff>42808</xdr:rowOff>
    </xdr:from>
    <xdr:to>
      <xdr:col>21</xdr:col>
      <xdr:colOff>58131</xdr:colOff>
      <xdr:row>24</xdr:row>
      <xdr:rowOff>73300</xdr:rowOff>
    </xdr:to>
    <xdr:sp macro="" textlink="">
      <xdr:nvSpPr>
        <xdr:cNvPr id="431" name="Retângulo 43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/>
      </xdr:nvSpPr>
      <xdr:spPr>
        <a:xfrm>
          <a:off x="8227974" y="3616219"/>
          <a:ext cx="1794536" cy="2793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Terças</a:t>
          </a:r>
        </a:p>
      </xdr:txBody>
    </xdr:sp>
    <xdr:clientData/>
  </xdr:twoCellAnchor>
  <xdr:twoCellAnchor>
    <xdr:from>
      <xdr:col>17</xdr:col>
      <xdr:colOff>607353</xdr:colOff>
      <xdr:row>24</xdr:row>
      <xdr:rowOff>34329</xdr:rowOff>
    </xdr:from>
    <xdr:to>
      <xdr:col>21</xdr:col>
      <xdr:colOff>147859</xdr:colOff>
      <xdr:row>26</xdr:row>
      <xdr:rowOff>48726</xdr:rowOff>
    </xdr:to>
    <xdr:sp macro="" textlink="">
      <xdr:nvSpPr>
        <xdr:cNvPr id="439" name="Retângulo 438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/>
      </xdr:nvSpPr>
      <xdr:spPr>
        <a:xfrm>
          <a:off x="8138248" y="3856619"/>
          <a:ext cx="1973990" cy="2632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Solicitação</a:t>
          </a:r>
          <a:r>
            <a:rPr lang="pt-BR" sz="1050" b="1" baseline="0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mais Crítica</a:t>
          </a:r>
          <a:endParaRPr lang="pt-BR" sz="800">
            <a:solidFill>
              <a:schemeClr val="bg1">
                <a:lumMod val="85000"/>
              </a:schemeClr>
            </a:solidFill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17</xdr:col>
      <xdr:colOff>607353</xdr:colOff>
      <xdr:row>38</xdr:row>
      <xdr:rowOff>135527</xdr:rowOff>
    </xdr:from>
    <xdr:to>
      <xdr:col>21</xdr:col>
      <xdr:colOff>147859</xdr:colOff>
      <xdr:row>40</xdr:row>
      <xdr:rowOff>54938</xdr:rowOff>
    </xdr:to>
    <xdr:sp macro="" textlink="">
      <xdr:nvSpPr>
        <xdr:cNvPr id="440" name="Retângulo 439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/>
      </xdr:nvSpPr>
      <xdr:spPr>
        <a:xfrm>
          <a:off x="8138248" y="5948850"/>
          <a:ext cx="1973990" cy="168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Verificações</a:t>
          </a:r>
          <a:endParaRPr lang="pt-BR" sz="1000"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18</xdr:col>
      <xdr:colOff>281534</xdr:colOff>
      <xdr:row>36</xdr:row>
      <xdr:rowOff>8451</xdr:rowOff>
    </xdr:from>
    <xdr:to>
      <xdr:col>20</xdr:col>
      <xdr:colOff>473677</xdr:colOff>
      <xdr:row>38</xdr:row>
      <xdr:rowOff>11247</xdr:rowOff>
    </xdr:to>
    <xdr:grpSp>
      <xdr:nvGrpSpPr>
        <xdr:cNvPr id="401" name="Agrupar 40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GrpSpPr/>
      </xdr:nvGrpSpPr>
      <xdr:grpSpPr>
        <a:xfrm>
          <a:off x="8633054" y="5540571"/>
          <a:ext cx="1441823" cy="315216"/>
          <a:chOff x="10708795" y="5420478"/>
          <a:chExt cx="1378618" cy="332121"/>
        </a:xfrm>
      </xdr:grpSpPr>
      <xdr:sp macro="" textlink="">
        <xdr:nvSpPr>
          <xdr:cNvPr id="402" name="Retângulo: Cantos Arredondados 401">
            <a:extLst>
              <a:ext uri="{FF2B5EF4-FFF2-40B4-BE49-F238E27FC236}">
                <a16:creationId xmlns:a16="http://schemas.microsoft.com/office/drawing/2014/main" id="{00000000-0008-0000-0100-000092010000}"/>
              </a:ext>
            </a:extLst>
          </xdr:cNvPr>
          <xdr:cNvSpPr/>
        </xdr:nvSpPr>
        <xdr:spPr>
          <a:xfrm>
            <a:off x="10708795" y="5420478"/>
            <a:ext cx="1378618" cy="332121"/>
          </a:xfrm>
          <a:prstGeom prst="roundRect">
            <a:avLst>
              <a:gd name="adj" fmla="val 17396"/>
            </a:avLst>
          </a:prstGeom>
          <a:solidFill>
            <a:srgbClr val="1D2125"/>
          </a:solidFill>
          <a:ln w="19050">
            <a:gradFill flip="none" rotWithShape="1">
              <a:gsLst>
                <a:gs pos="0">
                  <a:srgbClr val="FF2929"/>
                </a:gs>
                <a:gs pos="100000">
                  <a:srgbClr val="FD3F0B"/>
                </a:gs>
              </a:gsLst>
              <a:lin ang="18900000" scaled="1"/>
              <a:tileRect/>
            </a:gra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403" name="Retângulo: Cantos Superiores Arredondados 402">
            <a:extLst>
              <a:ext uri="{FF2B5EF4-FFF2-40B4-BE49-F238E27FC236}">
                <a16:creationId xmlns:a16="http://schemas.microsoft.com/office/drawing/2014/main" id="{00000000-0008-0000-0100-000093010000}"/>
              </a:ext>
            </a:extLst>
          </xdr:cNvPr>
          <xdr:cNvSpPr/>
        </xdr:nvSpPr>
        <xdr:spPr>
          <a:xfrm>
            <a:off x="10708795" y="5422484"/>
            <a:ext cx="1378618" cy="148388"/>
          </a:xfrm>
          <a:prstGeom prst="round2SameRect">
            <a:avLst>
              <a:gd name="adj1" fmla="val 40068"/>
              <a:gd name="adj2" fmla="val 0"/>
            </a:avLst>
          </a:prstGeom>
          <a:gradFill>
            <a:gsLst>
              <a:gs pos="100000">
                <a:srgbClr val="FD3F0B"/>
              </a:gs>
              <a:gs pos="0">
                <a:srgbClr val="FF2929"/>
              </a:gs>
            </a:gsLst>
            <a:lin ang="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10</xdr:col>
      <xdr:colOff>228600</xdr:colOff>
      <xdr:row>3</xdr:row>
      <xdr:rowOff>187920</xdr:rowOff>
    </xdr:from>
    <xdr:to>
      <xdr:col>17</xdr:col>
      <xdr:colOff>436632</xdr:colOff>
      <xdr:row>19</xdr:row>
      <xdr:rowOff>89146</xdr:rowOff>
    </xdr:to>
    <xdr:grpSp>
      <xdr:nvGrpSpPr>
        <xdr:cNvPr id="452" name="Agrupar 451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GrpSpPr/>
      </xdr:nvGrpSpPr>
      <xdr:grpSpPr>
        <a:xfrm>
          <a:off x="3581400" y="637500"/>
          <a:ext cx="4581912" cy="2446306"/>
          <a:chOff x="3790950" y="789546"/>
          <a:chExt cx="4475232" cy="2415826"/>
        </a:xfrm>
      </xdr:grpSpPr>
      <xdr:sp macro="" textlink="">
        <xdr:nvSpPr>
          <xdr:cNvPr id="373" name="Retângulo: Cantos Arredondados 372">
            <a:extLst>
              <a:ext uri="{FF2B5EF4-FFF2-40B4-BE49-F238E27FC236}">
                <a16:creationId xmlns:a16="http://schemas.microsoft.com/office/drawing/2014/main" id="{00000000-0008-0000-0100-000075010000}"/>
              </a:ext>
            </a:extLst>
          </xdr:cNvPr>
          <xdr:cNvSpPr/>
        </xdr:nvSpPr>
        <xdr:spPr>
          <a:xfrm>
            <a:off x="3790950" y="789546"/>
            <a:ext cx="4475232" cy="2415826"/>
          </a:xfrm>
          <a:prstGeom prst="roundRect">
            <a:avLst>
              <a:gd name="adj" fmla="val 6149"/>
            </a:avLst>
          </a:prstGeom>
          <a:solidFill>
            <a:srgbClr val="111315"/>
          </a:solidFill>
          <a:ln>
            <a:noFill/>
          </a:ln>
          <a:effectLst>
            <a:outerShdw blurRad="1778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10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grpSp>
        <xdr:nvGrpSpPr>
          <xdr:cNvPr id="451" name="Agrupar 450">
            <a:extLst>
              <a:ext uri="{FF2B5EF4-FFF2-40B4-BE49-F238E27FC236}">
                <a16:creationId xmlns:a16="http://schemas.microsoft.com/office/drawing/2014/main" id="{00000000-0008-0000-0100-0000C3010000}"/>
              </a:ext>
            </a:extLst>
          </xdr:cNvPr>
          <xdr:cNvGrpSpPr/>
        </xdr:nvGrpSpPr>
        <xdr:grpSpPr>
          <a:xfrm>
            <a:off x="5283325" y="790953"/>
            <a:ext cx="1490481" cy="235881"/>
            <a:chOff x="5283325" y="790953"/>
            <a:chExt cx="1490481" cy="235881"/>
          </a:xfrm>
        </xdr:grpSpPr>
        <xdr:sp macro="" textlink="">
          <xdr:nvSpPr>
            <xdr:cNvPr id="374" name="Retângulo 373">
              <a:extLst>
                <a:ext uri="{FF2B5EF4-FFF2-40B4-BE49-F238E27FC236}">
                  <a16:creationId xmlns:a16="http://schemas.microsoft.com/office/drawing/2014/main" id="{00000000-0008-0000-0100-000076010000}"/>
                </a:ext>
              </a:extLst>
            </xdr:cNvPr>
            <xdr:cNvSpPr/>
          </xdr:nvSpPr>
          <xdr:spPr>
            <a:xfrm>
              <a:off x="5283325" y="790953"/>
              <a:ext cx="1490481" cy="21711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Dimensões</a:t>
              </a:r>
            </a:p>
          </xdr:txBody>
        </xdr:sp>
        <xdr:pic>
          <xdr:nvPicPr>
            <xdr:cNvPr id="370" name="Imagem 369">
              <a:extLst>
                <a:ext uri="{FF2B5EF4-FFF2-40B4-BE49-F238E27FC236}">
                  <a16:creationId xmlns:a16="http://schemas.microsoft.com/office/drawing/2014/main" id="{00000000-0008-0000-0100-000072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rcRect/>
            <a:stretch/>
          </xdr:blipFill>
          <xdr:spPr>
            <a:xfrm>
              <a:off x="5484298" y="845279"/>
              <a:ext cx="181583" cy="181555"/>
            </a:xfrm>
            <a:prstGeom prst="rect">
              <a:avLst/>
            </a:prstGeom>
          </xdr:spPr>
        </xdr:pic>
      </xdr:grpSp>
      <xdr:grpSp>
        <xdr:nvGrpSpPr>
          <xdr:cNvPr id="450" name="Agrupar 449">
            <a:extLst>
              <a:ext uri="{FF2B5EF4-FFF2-40B4-BE49-F238E27FC236}">
                <a16:creationId xmlns:a16="http://schemas.microsoft.com/office/drawing/2014/main" id="{00000000-0008-0000-0100-0000C2010000}"/>
              </a:ext>
            </a:extLst>
          </xdr:cNvPr>
          <xdr:cNvGrpSpPr/>
        </xdr:nvGrpSpPr>
        <xdr:grpSpPr>
          <a:xfrm>
            <a:off x="3839871" y="1056426"/>
            <a:ext cx="4315080" cy="2059200"/>
            <a:chOff x="3839871" y="1056426"/>
            <a:chExt cx="4315080" cy="2059200"/>
          </a:xfrm>
        </xdr:grpSpPr>
        <xdr:pic>
          <xdr:nvPicPr>
            <xdr:cNvPr id="449" name="Imagem 448">
              <a:extLst>
                <a:ext uri="{FF2B5EF4-FFF2-40B4-BE49-F238E27FC236}">
                  <a16:creationId xmlns:a16="http://schemas.microsoft.com/office/drawing/2014/main" id="{00000000-0008-0000-0100-0000C1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3961448" y="1056426"/>
              <a:ext cx="4193503" cy="2059200"/>
            </a:xfrm>
            <a:prstGeom prst="rect">
              <a:avLst/>
            </a:prstGeom>
          </xdr:spPr>
        </xdr:pic>
        <xdr:grpSp>
          <xdr:nvGrpSpPr>
            <xdr:cNvPr id="204" name="Agrupar 203">
              <a:extLst>
                <a:ext uri="{FF2B5EF4-FFF2-40B4-BE49-F238E27FC236}">
                  <a16:creationId xmlns:a16="http://schemas.microsoft.com/office/drawing/2014/main" id="{00000000-0008-0000-0100-0000CC000000}"/>
                </a:ext>
              </a:extLst>
            </xdr:cNvPr>
            <xdr:cNvGrpSpPr/>
          </xdr:nvGrpSpPr>
          <xdr:grpSpPr>
            <a:xfrm>
              <a:off x="3839871" y="1126242"/>
              <a:ext cx="4141139" cy="1940930"/>
              <a:chOff x="4532698" y="791905"/>
              <a:chExt cx="4105812" cy="2114852"/>
            </a:xfrm>
            <a:noFill/>
          </xdr:grpSpPr>
          <xdr:sp macro="" textlink="AXA!C15">
            <xdr:nvSpPr>
              <xdr:cNvPr id="205" name="Retângulo 204">
                <a:extLst>
                  <a:ext uri="{FF2B5EF4-FFF2-40B4-BE49-F238E27FC236}">
                    <a16:creationId xmlns:a16="http://schemas.microsoft.com/office/drawing/2014/main" id="{00000000-0008-0000-0100-0000CD000000}"/>
                  </a:ext>
                </a:extLst>
              </xdr:cNvPr>
              <xdr:cNvSpPr/>
            </xdr:nvSpPr>
            <xdr:spPr>
              <a:xfrm rot="19824256">
                <a:off x="5106709" y="1448871"/>
                <a:ext cx="483441" cy="205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87DED25E-D0FB-4F27-9C55-A24E35318B62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3,08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6">
            <xdr:nvSpPr>
              <xdr:cNvPr id="206" name="Retângulo 205">
                <a:extLst>
                  <a:ext uri="{FF2B5EF4-FFF2-40B4-BE49-F238E27FC236}">
                    <a16:creationId xmlns:a16="http://schemas.microsoft.com/office/drawing/2014/main" id="{00000000-0008-0000-0100-0000CE000000}"/>
                  </a:ext>
                </a:extLst>
              </xdr:cNvPr>
              <xdr:cNvSpPr/>
            </xdr:nvSpPr>
            <xdr:spPr>
              <a:xfrm rot="19824256">
                <a:off x="4908534" y="1808563"/>
                <a:ext cx="483889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3451BF9E-3BEC-4E19-99AD-A985C1B0213B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1,54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6">
            <xdr:nvSpPr>
              <xdr:cNvPr id="207" name="Retângulo 206">
                <a:extLst>
                  <a:ext uri="{FF2B5EF4-FFF2-40B4-BE49-F238E27FC236}">
                    <a16:creationId xmlns:a16="http://schemas.microsoft.com/office/drawing/2014/main" id="{00000000-0008-0000-0100-0000CF000000}"/>
                  </a:ext>
                </a:extLst>
              </xdr:cNvPr>
              <xdr:cNvSpPr/>
            </xdr:nvSpPr>
            <xdr:spPr>
              <a:xfrm rot="19824256">
                <a:off x="5503752" y="1427025"/>
                <a:ext cx="483887" cy="207969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C4E02C05-B762-4EA9-9430-5027C16A0142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1,54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4">
            <xdr:nvSpPr>
              <xdr:cNvPr id="209" name="Retângulo 208">
                <a:extLst>
                  <a:ext uri="{FF2B5EF4-FFF2-40B4-BE49-F238E27FC236}">
                    <a16:creationId xmlns:a16="http://schemas.microsoft.com/office/drawing/2014/main" id="{00000000-0008-0000-0100-0000D1000000}"/>
                  </a:ext>
                </a:extLst>
              </xdr:cNvPr>
              <xdr:cNvSpPr/>
            </xdr:nvSpPr>
            <xdr:spPr>
              <a:xfrm rot="16200000">
                <a:off x="4348940" y="1973343"/>
                <a:ext cx="560083" cy="192567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5740D607-3CF2-4FA9-81B7-21B2B7785B88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0,890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2">
            <xdr:nvSpPr>
              <xdr:cNvPr id="210" name="Retângulo 209">
                <a:extLst>
                  <a:ext uri="{FF2B5EF4-FFF2-40B4-BE49-F238E27FC236}">
                    <a16:creationId xmlns:a16="http://schemas.microsoft.com/office/drawing/2014/main" id="{00000000-0008-0000-0100-0000D2000000}"/>
                  </a:ext>
                </a:extLst>
              </xdr:cNvPr>
              <xdr:cNvSpPr/>
            </xdr:nvSpPr>
            <xdr:spPr>
              <a:xfrm>
                <a:off x="5078891" y="2505507"/>
                <a:ext cx="492048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FB84C842-F7B0-478D-87C8-72FFF437C7EE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1,475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2">
            <xdr:nvSpPr>
              <xdr:cNvPr id="212" name="Retângulo 211">
                <a:extLst>
                  <a:ext uri="{FF2B5EF4-FFF2-40B4-BE49-F238E27FC236}">
                    <a16:creationId xmlns:a16="http://schemas.microsoft.com/office/drawing/2014/main" id="{00000000-0008-0000-0100-0000D4000000}"/>
                  </a:ext>
                </a:extLst>
              </xdr:cNvPr>
              <xdr:cNvSpPr/>
            </xdr:nvSpPr>
            <xdr:spPr>
              <a:xfrm>
                <a:off x="5544745" y="2500742"/>
                <a:ext cx="635192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1F51863F-464F-4BF8-BF3E-D3594DBEC760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1,475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1">
            <xdr:nvSpPr>
              <xdr:cNvPr id="213" name="Retângulo 212">
                <a:extLst>
                  <a:ext uri="{FF2B5EF4-FFF2-40B4-BE49-F238E27FC236}">
                    <a16:creationId xmlns:a16="http://schemas.microsoft.com/office/drawing/2014/main" id="{00000000-0008-0000-0100-0000D5000000}"/>
                  </a:ext>
                </a:extLst>
              </xdr:cNvPr>
              <xdr:cNvSpPr/>
            </xdr:nvSpPr>
            <xdr:spPr>
              <a:xfrm>
                <a:off x="6523978" y="2498361"/>
                <a:ext cx="492048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CE5941E7-A579-4235-B972-FA499E8066A3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2,95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10">
            <xdr:nvSpPr>
              <xdr:cNvPr id="214" name="Retângulo 213">
                <a:extLst>
                  <a:ext uri="{FF2B5EF4-FFF2-40B4-BE49-F238E27FC236}">
                    <a16:creationId xmlns:a16="http://schemas.microsoft.com/office/drawing/2014/main" id="{00000000-0008-0000-0100-0000D6000000}"/>
                  </a:ext>
                </a:extLst>
              </xdr:cNvPr>
              <xdr:cNvSpPr/>
            </xdr:nvSpPr>
            <xdr:spPr>
              <a:xfrm>
                <a:off x="5826826" y="2696854"/>
                <a:ext cx="544578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E3F29E3E-579B-45F5-9D7E-377047FE55AB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5,90 m</a:t>
                </a:fld>
                <a:endParaRPr lang="pt-BR" sz="5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6">
            <xdr:nvSpPr>
              <xdr:cNvPr id="215" name="Retângulo 214">
                <a:extLst>
                  <a:ext uri="{FF2B5EF4-FFF2-40B4-BE49-F238E27FC236}">
                    <a16:creationId xmlns:a16="http://schemas.microsoft.com/office/drawing/2014/main" id="{00000000-0008-0000-0100-0000D7000000}"/>
                  </a:ext>
                </a:extLst>
              </xdr:cNvPr>
              <xdr:cNvSpPr/>
            </xdr:nvSpPr>
            <xdr:spPr>
              <a:xfrm rot="1775744" flipH="1">
                <a:off x="7483950" y="791905"/>
                <a:ext cx="452849" cy="174999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8121AB99-26AB-4FFC-A4E9-673E9D38458E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0,38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9">
            <xdr:nvSpPr>
              <xdr:cNvPr id="216" name="Retângulo 215">
                <a:extLst>
                  <a:ext uri="{FF2B5EF4-FFF2-40B4-BE49-F238E27FC236}">
                    <a16:creationId xmlns:a16="http://schemas.microsoft.com/office/drawing/2014/main" id="{00000000-0008-0000-0100-0000D8000000}"/>
                  </a:ext>
                </a:extLst>
              </xdr:cNvPr>
              <xdr:cNvSpPr/>
            </xdr:nvSpPr>
            <xdr:spPr>
              <a:xfrm rot="1775744" flipH="1">
                <a:off x="8148000" y="1315430"/>
                <a:ext cx="490510" cy="183548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FE134AEC-8B41-47C2-AD5A-60A410503964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0,73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8">
            <xdr:nvSpPr>
              <xdr:cNvPr id="217" name="Retângulo 216">
                <a:extLst>
                  <a:ext uri="{FF2B5EF4-FFF2-40B4-BE49-F238E27FC236}">
                    <a16:creationId xmlns:a16="http://schemas.microsoft.com/office/drawing/2014/main" id="{00000000-0008-0000-0100-0000D9000000}"/>
                  </a:ext>
                </a:extLst>
              </xdr:cNvPr>
              <xdr:cNvSpPr/>
            </xdr:nvSpPr>
            <xdr:spPr>
              <a:xfrm rot="18855621" flipH="1">
                <a:off x="8175132" y="2213545"/>
                <a:ext cx="514250" cy="210094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2C9839FB-16B9-4546-9BFE-55752584B64E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2,50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7">
            <xdr:nvSpPr>
              <xdr:cNvPr id="218" name="Retângulo 217">
                <a:extLst>
                  <a:ext uri="{FF2B5EF4-FFF2-40B4-BE49-F238E27FC236}">
                    <a16:creationId xmlns:a16="http://schemas.microsoft.com/office/drawing/2014/main" id="{00000000-0008-0000-0100-0000DA000000}"/>
                  </a:ext>
                </a:extLst>
              </xdr:cNvPr>
              <xdr:cNvSpPr/>
            </xdr:nvSpPr>
            <xdr:spPr>
              <a:xfrm rot="18855621" flipH="1">
                <a:off x="8046385" y="2080895"/>
                <a:ext cx="491095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024E7804-BCF7-4034-8611-70C33C9B42AD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0,70 m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AXA!C23">
            <xdr:nvSpPr>
              <xdr:cNvPr id="219" name="Retângulo 218">
                <a:extLst>
                  <a:ext uri="{FF2B5EF4-FFF2-40B4-BE49-F238E27FC236}">
                    <a16:creationId xmlns:a16="http://schemas.microsoft.com/office/drawing/2014/main" id="{00000000-0008-0000-0100-0000DB000000}"/>
                  </a:ext>
                </a:extLst>
              </xdr:cNvPr>
              <xdr:cNvSpPr/>
            </xdr:nvSpPr>
            <xdr:spPr>
              <a:xfrm>
                <a:off x="6657919" y="2212320"/>
                <a:ext cx="532923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D386A188-FEC3-481C-A8F1-697AF98409A2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16,79 °</a:t>
                </a:fld>
                <a:endParaRPr lang="pt-BR" sz="9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$I$6">
            <xdr:nvSpPr>
              <xdr:cNvPr id="220" name="Retângulo 219">
                <a:extLst>
                  <a:ext uri="{FF2B5EF4-FFF2-40B4-BE49-F238E27FC236}">
                    <a16:creationId xmlns:a16="http://schemas.microsoft.com/office/drawing/2014/main" id="{00000000-0008-0000-0100-0000DC000000}"/>
                  </a:ext>
                </a:extLst>
              </xdr:cNvPr>
              <xdr:cNvSpPr/>
            </xdr:nvSpPr>
            <xdr:spPr>
              <a:xfrm>
                <a:off x="7400535" y="2698787"/>
                <a:ext cx="477851" cy="207970"/>
              </a:xfrm>
              <a:prstGeom prst="rect">
                <a:avLst/>
              </a:prstGeom>
              <a:grp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5CAA5051-B83B-4F49-9A7E-3DD586AC9AD9}" type="TxLink">
                  <a:rPr lang="en-US" sz="900" b="0" i="0" u="none" strike="noStrike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pPr algn="r"/>
                  <a:t>0,70 m</a:t>
                </a:fld>
                <a:endParaRPr lang="pt-BR" sz="3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18</xdr:col>
      <xdr:colOff>412416</xdr:colOff>
      <xdr:row>27</xdr:row>
      <xdr:rowOff>44773</xdr:rowOff>
    </xdr:from>
    <xdr:to>
      <xdr:col>20</xdr:col>
      <xdr:colOff>342794</xdr:colOff>
      <xdr:row>35</xdr:row>
      <xdr:rowOff>154717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18</xdr:col>
      <xdr:colOff>447205</xdr:colOff>
      <xdr:row>29</xdr:row>
      <xdr:rowOff>9382</xdr:rowOff>
    </xdr:from>
    <xdr:to>
      <xdr:col>20</xdr:col>
      <xdr:colOff>308005</xdr:colOff>
      <xdr:row>33</xdr:row>
      <xdr:rowOff>180490</xdr:rowOff>
    </xdr:to>
    <xdr:sp macro="" textlink="AXD!J27">
      <xdr:nvSpPr>
        <xdr:cNvPr id="117" name="Retângulo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8591080" y="4505182"/>
          <a:ext cx="1080000" cy="7235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fld id="{ADADFC33-CDDE-4D05-9D0E-A6FFAC04B86B}" type="TxLink">
            <a:rPr lang="en-US" sz="2000" b="0" i="0" u="none" strike="noStrike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59%</a:t>
          </a:fld>
          <a:endParaRPr lang="pt-BR" sz="2000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17</xdr:col>
      <xdr:colOff>549927</xdr:colOff>
      <xdr:row>25</xdr:row>
      <xdr:rowOff>19050</xdr:rowOff>
    </xdr:from>
    <xdr:to>
      <xdr:col>21</xdr:col>
      <xdr:colOff>205389</xdr:colOff>
      <xdr:row>28</xdr:row>
      <xdr:rowOff>98109</xdr:rowOff>
    </xdr:to>
    <xdr:sp macro="" textlink="AXD!L27">
      <xdr:nvSpPr>
        <xdr:cNvPr id="171" name="Retângulo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8084202" y="4019550"/>
          <a:ext cx="2093862" cy="3838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ctr"/>
        <a:lstStyle/>
        <a:p>
          <a:pPr algn="ctr"/>
          <a:fld id="{85774421-368A-4465-BE7B-E2B7957FD416}" type="TxLink">
            <a:rPr lang="en-US" sz="10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Flexão Oblíqua</a:t>
          </a:fld>
          <a:endParaRPr lang="pt-BR" sz="6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18</xdr:col>
      <xdr:colOff>85739</xdr:colOff>
      <xdr:row>35</xdr:row>
      <xdr:rowOff>178128</xdr:rowOff>
    </xdr:from>
    <xdr:to>
      <xdr:col>21</xdr:col>
      <xdr:colOff>61336</xdr:colOff>
      <xdr:row>37</xdr:row>
      <xdr:rowOff>108578</xdr:rowOff>
    </xdr:to>
    <xdr:sp macro="" textlink="AXD!Q27">
      <xdr:nvSpPr>
        <xdr:cNvPr id="173" name="Retângulo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8218624" y="5504801"/>
          <a:ext cx="1800000" cy="1795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83D4CD8-DA85-41A8-9471-52A9956C78F1}" type="TxLink">
            <a:rPr lang="en-US" sz="900" b="0" i="0" u="none" strike="noStrike">
              <a:solidFill>
                <a:srgbClr val="1D2125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Solicitação 0,58  </a:t>
          </a:fld>
          <a:endParaRPr lang="pt-BR" sz="200" b="0">
            <a:solidFill>
              <a:srgbClr val="1D2125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18</xdr:col>
      <xdr:colOff>85739</xdr:colOff>
      <xdr:row>37</xdr:row>
      <xdr:rowOff>73837</xdr:rowOff>
    </xdr:from>
    <xdr:to>
      <xdr:col>21</xdr:col>
      <xdr:colOff>61336</xdr:colOff>
      <xdr:row>37</xdr:row>
      <xdr:rowOff>237958</xdr:rowOff>
    </xdr:to>
    <xdr:sp macro="" textlink="AXD!S27">
      <xdr:nvSpPr>
        <xdr:cNvPr id="550" name="Retângulo 549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/>
      </xdr:nvSpPr>
      <xdr:spPr>
        <a:xfrm>
          <a:off x="8218624" y="5649625"/>
          <a:ext cx="1800000" cy="1641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F4ABF6D-60E5-4218-B177-E9D6C05598DA}" type="TxLink">
            <a:rPr lang="en-US" sz="9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Resistência 1  </a:t>
          </a:fld>
          <a:endParaRPr lang="pt-BR" sz="2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15</xdr:col>
      <xdr:colOff>8164</xdr:colOff>
      <xdr:row>27</xdr:row>
      <xdr:rowOff>44773</xdr:rowOff>
    </xdr:from>
    <xdr:to>
      <xdr:col>16</xdr:col>
      <xdr:colOff>548141</xdr:colOff>
      <xdr:row>35</xdr:row>
      <xdr:rowOff>154717</xdr:rowOff>
    </xdr:to>
    <xdr:graphicFrame macro="">
      <xdr:nvGraphicFramePr>
        <xdr:cNvPr id="73" name="Gráfico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42952</xdr:colOff>
      <xdr:row>29</xdr:row>
      <xdr:rowOff>15431</xdr:rowOff>
    </xdr:from>
    <xdr:to>
      <xdr:col>16</xdr:col>
      <xdr:colOff>513352</xdr:colOff>
      <xdr:row>33</xdr:row>
      <xdr:rowOff>174891</xdr:rowOff>
    </xdr:to>
    <xdr:sp macro="" textlink="AXD!J19">
      <xdr:nvSpPr>
        <xdr:cNvPr id="74" name="Retângulo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6358027" y="4511231"/>
          <a:ext cx="1080000" cy="7119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fld id="{658E625A-096A-4B7E-8FBD-1A5CC46830F7}" type="TxLink">
            <a:rPr lang="en-US" sz="2000" b="0" i="0" u="none" strike="noStrike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158%</a:t>
          </a:fld>
          <a:endParaRPr lang="pt-BR" sz="2000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146354</xdr:colOff>
      <xdr:row>25</xdr:row>
      <xdr:rowOff>19050</xdr:rowOff>
    </xdr:from>
    <xdr:to>
      <xdr:col>17</xdr:col>
      <xdr:colOff>409950</xdr:colOff>
      <xdr:row>28</xdr:row>
      <xdr:rowOff>98109</xdr:rowOff>
    </xdr:to>
    <xdr:sp macro="" textlink="AXD!L19">
      <xdr:nvSpPr>
        <xdr:cNvPr id="168" name="Retângulo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5851829" y="4019550"/>
          <a:ext cx="2092396" cy="3838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ctr"/>
        <a:lstStyle/>
        <a:p>
          <a:pPr algn="ctr"/>
          <a:fld id="{7BD5672F-1BC3-4C93-8467-717956E5D5F3}" type="TxLink">
            <a:rPr lang="en-US" sz="10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Deslocamento</a:t>
          </a:fld>
          <a:endParaRPr lang="pt-BR" sz="6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290354</xdr:colOff>
      <xdr:row>35</xdr:row>
      <xdr:rowOff>173882</xdr:rowOff>
    </xdr:from>
    <xdr:to>
      <xdr:col>17</xdr:col>
      <xdr:colOff>265950</xdr:colOff>
      <xdr:row>37</xdr:row>
      <xdr:rowOff>112824</xdr:rowOff>
    </xdr:to>
    <xdr:sp macro="" textlink="AXD!Q19">
      <xdr:nvSpPr>
        <xdr:cNvPr id="170" name="Retângulo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5990700" y="5500555"/>
          <a:ext cx="1800000" cy="1880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D10A18EC-AD38-480B-9AE4-A47F7643A354}" type="TxLink">
            <a:rPr lang="en-US" sz="900" b="0" i="0" u="none" strike="noStrike">
              <a:solidFill>
                <a:srgbClr val="1D2125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Solicitação 0,81 cm</a:t>
          </a:fld>
          <a:endParaRPr lang="pt-BR" sz="200" b="0">
            <a:solidFill>
              <a:srgbClr val="1D2125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14</xdr:col>
      <xdr:colOff>290354</xdr:colOff>
      <xdr:row>37</xdr:row>
      <xdr:rowOff>70582</xdr:rowOff>
    </xdr:from>
    <xdr:to>
      <xdr:col>17</xdr:col>
      <xdr:colOff>265950</xdr:colOff>
      <xdr:row>37</xdr:row>
      <xdr:rowOff>241213</xdr:rowOff>
    </xdr:to>
    <xdr:sp macro="" textlink="AXD!S19">
      <xdr:nvSpPr>
        <xdr:cNvPr id="562" name="Retângulo 561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/>
      </xdr:nvSpPr>
      <xdr:spPr>
        <a:xfrm>
          <a:off x="5990700" y="5646370"/>
          <a:ext cx="1800000" cy="1706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188E3C18-B04C-4C97-A93B-BB5D84778806}" type="TxLink">
            <a:rPr lang="en-US" sz="9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Resistência 0,51 cm</a:t>
          </a:fld>
          <a:endParaRPr lang="pt-BR" sz="2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22</xdr:col>
      <xdr:colOff>204770</xdr:colOff>
      <xdr:row>27</xdr:row>
      <xdr:rowOff>44773</xdr:rowOff>
    </xdr:from>
    <xdr:to>
      <xdr:col>24</xdr:col>
      <xdr:colOff>135147</xdr:colOff>
      <xdr:row>35</xdr:row>
      <xdr:rowOff>154717</xdr:rowOff>
    </xdr:to>
    <xdr:graphicFrame macro="">
      <xdr:nvGraphicFramePr>
        <xdr:cNvPr id="78" name="Gráfico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22</xdr:col>
      <xdr:colOff>239558</xdr:colOff>
      <xdr:row>29</xdr:row>
      <xdr:rowOff>15431</xdr:rowOff>
    </xdr:from>
    <xdr:to>
      <xdr:col>24</xdr:col>
      <xdr:colOff>100358</xdr:colOff>
      <xdr:row>33</xdr:row>
      <xdr:rowOff>174890</xdr:rowOff>
    </xdr:to>
    <xdr:sp macro="" textlink="AXD!J42">
      <xdr:nvSpPr>
        <xdr:cNvPr id="79" name="Retângulo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10821833" y="4511231"/>
          <a:ext cx="1080000" cy="71190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fld id="{1F8107F8-49FA-4E6E-B500-BABA5EEE8DAD}" type="TxLink">
            <a:rPr lang="en-US" sz="2000" b="0" i="0" u="none" strike="noStrike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120%</a:t>
          </a:fld>
          <a:endParaRPr lang="pt-BR" sz="2000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21</xdr:col>
      <xdr:colOff>342641</xdr:colOff>
      <xdr:row>25</xdr:row>
      <xdr:rowOff>19050</xdr:rowOff>
    </xdr:from>
    <xdr:to>
      <xdr:col>24</xdr:col>
      <xdr:colOff>606237</xdr:colOff>
      <xdr:row>28</xdr:row>
      <xdr:rowOff>98109</xdr:rowOff>
    </xdr:to>
    <xdr:sp macro="" textlink="AXD!L42">
      <xdr:nvSpPr>
        <xdr:cNvPr id="174" name="Retângulo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10315316" y="4019550"/>
          <a:ext cx="2092396" cy="3838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ctr"/>
        <a:lstStyle/>
        <a:p>
          <a:pPr algn="ctr"/>
          <a:fld id="{19FF5693-036F-4889-A69A-C8AA8374BF5C}" type="TxLink">
            <a:rPr lang="en-US" sz="10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Ligação (Nó F)</a:t>
          </a:fld>
          <a:endParaRPr lang="pt-BR" sz="6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21</xdr:col>
      <xdr:colOff>486960</xdr:colOff>
      <xdr:row>35</xdr:row>
      <xdr:rowOff>178017</xdr:rowOff>
    </xdr:from>
    <xdr:to>
      <xdr:col>24</xdr:col>
      <xdr:colOff>462556</xdr:colOff>
      <xdr:row>37</xdr:row>
      <xdr:rowOff>108689</xdr:rowOff>
    </xdr:to>
    <xdr:sp macro="" textlink="AXD!Q42">
      <xdr:nvSpPr>
        <xdr:cNvPr id="176" name="Retângulo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10444248" y="5504690"/>
          <a:ext cx="1800000" cy="1797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F0E23142-21D0-4CF0-A61D-4E14B75A9548}" type="TxLink">
            <a:rPr lang="en-US" sz="900" b="0" i="0" u="none" strike="noStrike">
              <a:solidFill>
                <a:srgbClr val="1D2125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Solicitação 1,5 cm</a:t>
          </a:fld>
          <a:endParaRPr lang="pt-BR" sz="200" b="0">
            <a:solidFill>
              <a:srgbClr val="1D2125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21</xdr:col>
      <xdr:colOff>486960</xdr:colOff>
      <xdr:row>37</xdr:row>
      <xdr:rowOff>73726</xdr:rowOff>
    </xdr:from>
    <xdr:to>
      <xdr:col>24</xdr:col>
      <xdr:colOff>462556</xdr:colOff>
      <xdr:row>37</xdr:row>
      <xdr:rowOff>238069</xdr:rowOff>
    </xdr:to>
    <xdr:sp macro="" textlink="AXD!S42">
      <xdr:nvSpPr>
        <xdr:cNvPr id="563" name="Retângulo 562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/>
      </xdr:nvSpPr>
      <xdr:spPr>
        <a:xfrm>
          <a:off x="10444248" y="5649514"/>
          <a:ext cx="1800000" cy="1643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B0072A6-15EB-4E77-AD49-35BD503CCC4B}" type="TxLink">
            <a:rPr lang="en-US" sz="9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Resistência 1,25 cm</a:t>
          </a:fld>
          <a:endParaRPr lang="pt-BR" sz="2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</xdr:col>
      <xdr:colOff>309584</xdr:colOff>
      <xdr:row>4</xdr:row>
      <xdr:rowOff>65470</xdr:rowOff>
    </xdr:from>
    <xdr:to>
      <xdr:col>1</xdr:col>
      <xdr:colOff>423182</xdr:colOff>
      <xdr:row>4</xdr:row>
      <xdr:rowOff>179068</xdr:rowOff>
    </xdr:to>
    <xdr:pic>
      <xdr:nvPicPr>
        <xdr:cNvPr id="506" name="Imagem 50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/>
      </xdr:blipFill>
      <xdr:spPr>
        <a:xfrm>
          <a:off x="490559" y="770320"/>
          <a:ext cx="113598" cy="113598"/>
        </a:xfrm>
        <a:prstGeom prst="rect">
          <a:avLst/>
        </a:prstGeom>
      </xdr:spPr>
    </xdr:pic>
    <xdr:clientData/>
  </xdr:twoCellAnchor>
  <xdr:twoCellAnchor>
    <xdr:from>
      <xdr:col>2</xdr:col>
      <xdr:colOff>147259</xdr:colOff>
      <xdr:row>9</xdr:row>
      <xdr:rowOff>50979</xdr:rowOff>
    </xdr:from>
    <xdr:to>
      <xdr:col>2</xdr:col>
      <xdr:colOff>291259</xdr:colOff>
      <xdr:row>9</xdr:row>
      <xdr:rowOff>194618</xdr:rowOff>
    </xdr:to>
    <xdr:pic>
      <xdr:nvPicPr>
        <xdr:cNvPr id="507" name="Imagem 506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1259643" y="1500140"/>
          <a:ext cx="144000" cy="143639"/>
        </a:xfrm>
        <a:prstGeom prst="rect">
          <a:avLst/>
        </a:prstGeom>
      </xdr:spPr>
    </xdr:pic>
    <xdr:clientData/>
  </xdr:twoCellAnchor>
  <xdr:twoCellAnchor>
    <xdr:from>
      <xdr:col>1</xdr:col>
      <xdr:colOff>619679</xdr:colOff>
      <xdr:row>16</xdr:row>
      <xdr:rowOff>43822</xdr:rowOff>
    </xdr:from>
    <xdr:to>
      <xdr:col>1</xdr:col>
      <xdr:colOff>727679</xdr:colOff>
      <xdr:row>16</xdr:row>
      <xdr:rowOff>151552</xdr:rowOff>
    </xdr:to>
    <xdr:pic>
      <xdr:nvPicPr>
        <xdr:cNvPr id="508" name="Imagem 50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800654" y="2482222"/>
          <a:ext cx="108000" cy="107730"/>
        </a:xfrm>
        <a:prstGeom prst="rect">
          <a:avLst/>
        </a:prstGeom>
      </xdr:spPr>
    </xdr:pic>
    <xdr:clientData/>
  </xdr:twoCellAnchor>
  <xdr:twoCellAnchor>
    <xdr:from>
      <xdr:col>1</xdr:col>
      <xdr:colOff>450566</xdr:colOff>
      <xdr:row>22</xdr:row>
      <xdr:rowOff>42630</xdr:rowOff>
    </xdr:from>
    <xdr:to>
      <xdr:col>1</xdr:col>
      <xdr:colOff>625986</xdr:colOff>
      <xdr:row>22</xdr:row>
      <xdr:rowOff>170838</xdr:rowOff>
    </xdr:to>
    <xdr:pic>
      <xdr:nvPicPr>
        <xdr:cNvPr id="509" name="Imagem 508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631541" y="3376380"/>
          <a:ext cx="175420" cy="128208"/>
        </a:xfrm>
        <a:prstGeom prst="rect">
          <a:avLst/>
        </a:prstGeom>
      </xdr:spPr>
    </xdr:pic>
    <xdr:clientData/>
  </xdr:twoCellAnchor>
  <xdr:twoCellAnchor>
    <xdr:from>
      <xdr:col>1</xdr:col>
      <xdr:colOff>268830</xdr:colOff>
      <xdr:row>30</xdr:row>
      <xdr:rowOff>29889</xdr:rowOff>
    </xdr:from>
    <xdr:to>
      <xdr:col>1</xdr:col>
      <xdr:colOff>457730</xdr:colOff>
      <xdr:row>30</xdr:row>
      <xdr:rowOff>218315</xdr:rowOff>
    </xdr:to>
    <xdr:pic>
      <xdr:nvPicPr>
        <xdr:cNvPr id="510" name="Imagem 509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449805" y="4563789"/>
          <a:ext cx="188900" cy="188426"/>
        </a:xfrm>
        <a:prstGeom prst="rect">
          <a:avLst/>
        </a:prstGeom>
      </xdr:spPr>
    </xdr:pic>
    <xdr:clientData/>
  </xdr:twoCellAnchor>
  <xdr:twoCellAnchor>
    <xdr:from>
      <xdr:col>2</xdr:col>
      <xdr:colOff>141337</xdr:colOff>
      <xdr:row>37</xdr:row>
      <xdr:rowOff>73875</xdr:rowOff>
    </xdr:from>
    <xdr:to>
      <xdr:col>2</xdr:col>
      <xdr:colOff>249337</xdr:colOff>
      <xdr:row>37</xdr:row>
      <xdr:rowOff>181605</xdr:rowOff>
    </xdr:to>
    <xdr:pic>
      <xdr:nvPicPr>
        <xdr:cNvPr id="511" name="Imagem 510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1255762" y="5598375"/>
          <a:ext cx="108000" cy="107730"/>
        </a:xfrm>
        <a:prstGeom prst="rect">
          <a:avLst/>
        </a:prstGeom>
      </xdr:spPr>
    </xdr:pic>
    <xdr:clientData/>
  </xdr:twoCellAnchor>
  <xdr:twoCellAnchor>
    <xdr:from>
      <xdr:col>1</xdr:col>
      <xdr:colOff>506976</xdr:colOff>
      <xdr:row>49</xdr:row>
      <xdr:rowOff>64527</xdr:rowOff>
    </xdr:from>
    <xdr:to>
      <xdr:col>1</xdr:col>
      <xdr:colOff>614976</xdr:colOff>
      <xdr:row>49</xdr:row>
      <xdr:rowOff>172257</xdr:rowOff>
    </xdr:to>
    <xdr:pic>
      <xdr:nvPicPr>
        <xdr:cNvPr id="512" name="Imagem 51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687951" y="7313052"/>
          <a:ext cx="108000" cy="107730"/>
        </a:xfrm>
        <a:prstGeom prst="rect">
          <a:avLst/>
        </a:prstGeom>
      </xdr:spPr>
    </xdr:pic>
    <xdr:clientData/>
  </xdr:twoCellAnchor>
  <xdr:twoCellAnchor>
    <xdr:from>
      <xdr:col>1</xdr:col>
      <xdr:colOff>172064</xdr:colOff>
      <xdr:row>50</xdr:row>
      <xdr:rowOff>18614</xdr:rowOff>
    </xdr:from>
    <xdr:to>
      <xdr:col>1</xdr:col>
      <xdr:colOff>316064</xdr:colOff>
      <xdr:row>50</xdr:row>
      <xdr:rowOff>162253</xdr:rowOff>
    </xdr:to>
    <xdr:pic>
      <xdr:nvPicPr>
        <xdr:cNvPr id="513" name="Imagem 51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/>
      </xdr:blipFill>
      <xdr:spPr>
        <a:xfrm>
          <a:off x="353039" y="7514789"/>
          <a:ext cx="144000" cy="143639"/>
        </a:xfrm>
        <a:prstGeom prst="rect">
          <a:avLst/>
        </a:prstGeom>
      </xdr:spPr>
    </xdr:pic>
    <xdr:clientData/>
  </xdr:twoCellAnchor>
  <xdr:twoCellAnchor>
    <xdr:from>
      <xdr:col>5</xdr:col>
      <xdr:colOff>365095</xdr:colOff>
      <xdr:row>50</xdr:row>
      <xdr:rowOff>58078</xdr:rowOff>
    </xdr:from>
    <xdr:to>
      <xdr:col>5</xdr:col>
      <xdr:colOff>454613</xdr:colOff>
      <xdr:row>50</xdr:row>
      <xdr:rowOff>147371</xdr:rowOff>
    </xdr:to>
    <xdr:pic>
      <xdr:nvPicPr>
        <xdr:cNvPr id="514" name="Imagem 51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/>
        <a:stretch/>
      </xdr:blipFill>
      <xdr:spPr>
        <a:xfrm>
          <a:off x="2174845" y="7554253"/>
          <a:ext cx="89518" cy="89293"/>
        </a:xfrm>
        <a:prstGeom prst="rect">
          <a:avLst/>
        </a:prstGeom>
      </xdr:spPr>
    </xdr:pic>
    <xdr:clientData/>
  </xdr:twoCellAnchor>
  <xdr:twoCellAnchor>
    <xdr:from>
      <xdr:col>1</xdr:col>
      <xdr:colOff>803053</xdr:colOff>
      <xdr:row>57</xdr:row>
      <xdr:rowOff>45825</xdr:rowOff>
    </xdr:from>
    <xdr:to>
      <xdr:col>2</xdr:col>
      <xdr:colOff>12988</xdr:colOff>
      <xdr:row>57</xdr:row>
      <xdr:rowOff>188850</xdr:rowOff>
    </xdr:to>
    <xdr:pic>
      <xdr:nvPicPr>
        <xdr:cNvPr id="515" name="Imagem 51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984028" y="8475450"/>
          <a:ext cx="143385" cy="143025"/>
        </a:xfrm>
        <a:prstGeom prst="rect">
          <a:avLst/>
        </a:prstGeom>
      </xdr:spPr>
    </xdr:pic>
    <xdr:clientData/>
  </xdr:twoCellAnchor>
  <xdr:twoCellAnchor>
    <xdr:from>
      <xdr:col>2</xdr:col>
      <xdr:colOff>84046</xdr:colOff>
      <xdr:row>62</xdr:row>
      <xdr:rowOff>25357</xdr:rowOff>
    </xdr:from>
    <xdr:to>
      <xdr:col>2</xdr:col>
      <xdr:colOff>198906</xdr:colOff>
      <xdr:row>62</xdr:row>
      <xdr:rowOff>139929</xdr:rowOff>
    </xdr:to>
    <xdr:pic>
      <xdr:nvPicPr>
        <xdr:cNvPr id="516" name="Imagem 51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1198471" y="9197932"/>
          <a:ext cx="114860" cy="114572"/>
        </a:xfrm>
        <a:prstGeom prst="rect">
          <a:avLst/>
        </a:prstGeom>
      </xdr:spPr>
    </xdr:pic>
    <xdr:clientData/>
  </xdr:twoCellAnchor>
  <xdr:twoCellAnchor>
    <xdr:from>
      <xdr:col>1</xdr:col>
      <xdr:colOff>734029</xdr:colOff>
      <xdr:row>65</xdr:row>
      <xdr:rowOff>28486</xdr:rowOff>
    </xdr:from>
    <xdr:to>
      <xdr:col>1</xdr:col>
      <xdr:colOff>870439</xdr:colOff>
      <xdr:row>65</xdr:row>
      <xdr:rowOff>164554</xdr:rowOff>
    </xdr:to>
    <xdr:pic>
      <xdr:nvPicPr>
        <xdr:cNvPr id="517" name="Imagem 51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915004" y="9639211"/>
          <a:ext cx="136410" cy="136068"/>
        </a:xfrm>
        <a:prstGeom prst="rect">
          <a:avLst/>
        </a:prstGeom>
      </xdr:spPr>
    </xdr:pic>
    <xdr:clientData/>
  </xdr:twoCellAnchor>
  <xdr:twoCellAnchor>
    <xdr:from>
      <xdr:col>1</xdr:col>
      <xdr:colOff>605505</xdr:colOff>
      <xdr:row>44</xdr:row>
      <xdr:rowOff>45561</xdr:rowOff>
    </xdr:from>
    <xdr:to>
      <xdr:col>1</xdr:col>
      <xdr:colOff>713505</xdr:colOff>
      <xdr:row>44</xdr:row>
      <xdr:rowOff>153291</xdr:rowOff>
    </xdr:to>
    <xdr:pic>
      <xdr:nvPicPr>
        <xdr:cNvPr id="518" name="Imagem 517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rcRect/>
        <a:stretch/>
      </xdr:blipFill>
      <xdr:spPr>
        <a:xfrm>
          <a:off x="786480" y="6560661"/>
          <a:ext cx="108000" cy="107730"/>
        </a:xfrm>
        <a:prstGeom prst="rect">
          <a:avLst/>
        </a:prstGeom>
      </xdr:spPr>
    </xdr:pic>
    <xdr:clientData/>
  </xdr:twoCellAnchor>
  <xdr:twoCellAnchor>
    <xdr:from>
      <xdr:col>2</xdr:col>
      <xdr:colOff>55874</xdr:colOff>
      <xdr:row>58</xdr:row>
      <xdr:rowOff>20267</xdr:rowOff>
    </xdr:from>
    <xdr:to>
      <xdr:col>5</xdr:col>
      <xdr:colOff>383129</xdr:colOff>
      <xdr:row>58</xdr:row>
      <xdr:rowOff>183759</xdr:rowOff>
    </xdr:to>
    <xdr:sp macro="" textlink="">
      <xdr:nvSpPr>
        <xdr:cNvPr id="520" name="Retângulo: Cantos Arredondados 519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/>
      </xdr:nvSpPr>
      <xdr:spPr>
        <a:xfrm>
          <a:off x="1172204" y="8752787"/>
          <a:ext cx="1024485" cy="163492"/>
        </a:xfrm>
        <a:prstGeom prst="roundRect">
          <a:avLst>
            <a:gd name="adj" fmla="val 50000"/>
          </a:avLst>
        </a:prstGeom>
        <a:gradFill flip="none" rotWithShape="1">
          <a:gsLst>
            <a:gs pos="100000">
              <a:srgbClr val="FD3F0B"/>
            </a:gs>
            <a:gs pos="0">
              <a:srgbClr val="FF2929"/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r"/>
          <a:r>
            <a:rPr lang="pt-BR" sz="8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Link Visual Ventos</a:t>
          </a:r>
        </a:p>
      </xdr:txBody>
    </xdr:sp>
    <xdr:clientData/>
  </xdr:twoCellAnchor>
  <xdr:twoCellAnchor>
    <xdr:from>
      <xdr:col>2</xdr:col>
      <xdr:colOff>70850</xdr:colOff>
      <xdr:row>58</xdr:row>
      <xdr:rowOff>36100</xdr:rowOff>
    </xdr:from>
    <xdr:to>
      <xdr:col>2</xdr:col>
      <xdr:colOff>200318</xdr:colOff>
      <xdr:row>58</xdr:row>
      <xdr:rowOff>167927</xdr:rowOff>
    </xdr:to>
    <xdr:sp macro="" textlink="">
      <xdr:nvSpPr>
        <xdr:cNvPr id="521" name="Forma Livre: Forma 52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>
          <a:spLocks noChangeAspect="1"/>
        </xdr:cNvSpPr>
      </xdr:nvSpPr>
      <xdr:spPr>
        <a:xfrm>
          <a:off x="1187180" y="8768620"/>
          <a:ext cx="129468" cy="131827"/>
        </a:xfrm>
        <a:custGeom>
          <a:avLst/>
          <a:gdLst>
            <a:gd name="connsiteX0" fmla="*/ 2123136 w 4250872"/>
            <a:gd name="connsiteY0" fmla="*/ 2070418 h 4250872"/>
            <a:gd name="connsiteX1" fmla="*/ 2154685 w 4250872"/>
            <a:gd name="connsiteY1" fmla="*/ 2096189 h 4250872"/>
            <a:gd name="connsiteX2" fmla="*/ 2170560 w 4250872"/>
            <a:gd name="connsiteY2" fmla="*/ 2115622 h 4250872"/>
            <a:gd name="connsiteX3" fmla="*/ 2139010 w 4250872"/>
            <a:gd name="connsiteY3" fmla="*/ 2089852 h 4250872"/>
            <a:gd name="connsiteX4" fmla="*/ 1601747 w 4250872"/>
            <a:gd name="connsiteY4" fmla="*/ 1799924 h 4250872"/>
            <a:gd name="connsiteX5" fmla="*/ 1590811 w 4250872"/>
            <a:gd name="connsiteY5" fmla="*/ 1836827 h 4250872"/>
            <a:gd name="connsiteX6" fmla="*/ 1590811 w 4250872"/>
            <a:gd name="connsiteY6" fmla="*/ 2104985 h 4250872"/>
            <a:gd name="connsiteX7" fmla="*/ 1624149 w 4250872"/>
            <a:gd name="connsiteY7" fmla="*/ 2217478 h 4250872"/>
            <a:gd name="connsiteX8" fmla="*/ 1202591 w 4250872"/>
            <a:gd name="connsiteY8" fmla="*/ 2639037 h 4250872"/>
            <a:gd name="connsiteX9" fmla="*/ 1202591 w 4250872"/>
            <a:gd name="connsiteY9" fmla="*/ 3048283 h 4250872"/>
            <a:gd name="connsiteX10" fmla="*/ 1611837 w 4250872"/>
            <a:gd name="connsiteY10" fmla="*/ 3048283 h 4250872"/>
            <a:gd name="connsiteX11" fmla="*/ 2033396 w 4250872"/>
            <a:gd name="connsiteY11" fmla="*/ 2626725 h 4250872"/>
            <a:gd name="connsiteX12" fmla="*/ 2102651 w 4250872"/>
            <a:gd name="connsiteY12" fmla="*/ 2557470 h 4250872"/>
            <a:gd name="connsiteX13" fmla="*/ 2158846 w 4250872"/>
            <a:gd name="connsiteY13" fmla="*/ 2574124 h 4250872"/>
            <a:gd name="connsiteX14" fmla="*/ 2504731 w 4250872"/>
            <a:gd name="connsiteY14" fmla="*/ 2540640 h 4250872"/>
            <a:gd name="connsiteX15" fmla="*/ 2519089 w 4250872"/>
            <a:gd name="connsiteY15" fmla="*/ 2533084 h 4250872"/>
            <a:gd name="connsiteX16" fmla="*/ 2470838 w 4250872"/>
            <a:gd name="connsiteY16" fmla="*/ 2624776 h 4250872"/>
            <a:gd name="connsiteX17" fmla="*/ 2450947 w 4250872"/>
            <a:gd name="connsiteY17" fmla="*/ 2649129 h 4250872"/>
            <a:gd name="connsiteX18" fmla="*/ 2392710 w 4250872"/>
            <a:gd name="connsiteY18" fmla="*/ 2720423 h 4250872"/>
            <a:gd name="connsiteX19" fmla="*/ 1826826 w 4250872"/>
            <a:gd name="connsiteY19" fmla="*/ 3286306 h 4250872"/>
            <a:gd name="connsiteX20" fmla="*/ 1060213 w 4250872"/>
            <a:gd name="connsiteY20" fmla="*/ 3364435 h 4250872"/>
            <a:gd name="connsiteX21" fmla="*/ 964566 w 4250872"/>
            <a:gd name="connsiteY21" fmla="*/ 3286306 h 4250872"/>
            <a:gd name="connsiteX22" fmla="*/ 886438 w 4250872"/>
            <a:gd name="connsiteY22" fmla="*/ 3190660 h 4250872"/>
            <a:gd name="connsiteX23" fmla="*/ 964567 w 4250872"/>
            <a:gd name="connsiteY23" fmla="*/ 2424047 h 4250872"/>
            <a:gd name="connsiteX24" fmla="*/ 1530449 w 4250872"/>
            <a:gd name="connsiteY24" fmla="*/ 1858164 h 4250872"/>
            <a:gd name="connsiteX25" fmla="*/ 2199462 w 4250872"/>
            <a:gd name="connsiteY25" fmla="*/ 1728672 h 4250872"/>
            <a:gd name="connsiteX26" fmla="*/ 2297062 w 4250872"/>
            <a:gd name="connsiteY26" fmla="*/ 1780034 h 4250872"/>
            <a:gd name="connsiteX27" fmla="*/ 2392709 w 4250872"/>
            <a:gd name="connsiteY27" fmla="*/ 1858163 h 4250872"/>
            <a:gd name="connsiteX28" fmla="*/ 2392710 w 4250872"/>
            <a:gd name="connsiteY28" fmla="*/ 1858162 h 4250872"/>
            <a:gd name="connsiteX29" fmla="*/ 2470839 w 4250872"/>
            <a:gd name="connsiteY29" fmla="*/ 1953809 h 4250872"/>
            <a:gd name="connsiteX30" fmla="*/ 2507023 w 4250872"/>
            <a:gd name="connsiteY30" fmla="*/ 2022568 h 4250872"/>
            <a:gd name="connsiteX31" fmla="*/ 2526645 w 4250872"/>
            <a:gd name="connsiteY31" fmla="*/ 2059857 h 4250872"/>
            <a:gd name="connsiteX32" fmla="*/ 2543475 w 4250872"/>
            <a:gd name="connsiteY32" fmla="*/ 2116644 h 4250872"/>
            <a:gd name="connsiteX33" fmla="*/ 2560128 w 4250872"/>
            <a:gd name="connsiteY33" fmla="*/ 2172840 h 4250872"/>
            <a:gd name="connsiteX34" fmla="*/ 2526644 w 4250872"/>
            <a:gd name="connsiteY34" fmla="*/ 2518725 h 4250872"/>
            <a:gd name="connsiteX35" fmla="*/ 2519089 w 4250872"/>
            <a:gd name="connsiteY35" fmla="*/ 2533083 h 4250872"/>
            <a:gd name="connsiteX36" fmla="*/ 2504731 w 4250872"/>
            <a:gd name="connsiteY36" fmla="*/ 2540638 h 4250872"/>
            <a:gd name="connsiteX37" fmla="*/ 2158846 w 4250872"/>
            <a:gd name="connsiteY37" fmla="*/ 2574122 h 4250872"/>
            <a:gd name="connsiteX38" fmla="*/ 2102651 w 4250872"/>
            <a:gd name="connsiteY38" fmla="*/ 2557468 h 4250872"/>
            <a:gd name="connsiteX39" fmla="*/ 2154685 w 4250872"/>
            <a:gd name="connsiteY39" fmla="*/ 2505434 h 4250872"/>
            <a:gd name="connsiteX40" fmla="*/ 2234146 w 4250872"/>
            <a:gd name="connsiteY40" fmla="*/ 2245541 h 4250872"/>
            <a:gd name="connsiteX41" fmla="*/ 2232196 w 4250872"/>
            <a:gd name="connsiteY41" fmla="*/ 2238963 h 4250872"/>
            <a:gd name="connsiteX42" fmla="*/ 2218254 w 4250872"/>
            <a:gd name="connsiteY42" fmla="*/ 2191917 h 4250872"/>
            <a:gd name="connsiteX43" fmla="*/ 2191767 w 4250872"/>
            <a:gd name="connsiteY43" fmla="*/ 2141583 h 4250872"/>
            <a:gd name="connsiteX44" fmla="*/ 2170560 w 4250872"/>
            <a:gd name="connsiteY44" fmla="*/ 2115620 h 4250872"/>
            <a:gd name="connsiteX45" fmla="*/ 2170561 w 4250872"/>
            <a:gd name="connsiteY45" fmla="*/ 2115621 h 4250872"/>
            <a:gd name="connsiteX46" fmla="*/ 2154686 w 4250872"/>
            <a:gd name="connsiteY46" fmla="*/ 2096188 h 4250872"/>
            <a:gd name="connsiteX47" fmla="*/ 2123136 w 4250872"/>
            <a:gd name="connsiteY47" fmla="*/ 2070417 h 4250872"/>
            <a:gd name="connsiteX48" fmla="*/ 2111763 w 4250872"/>
            <a:gd name="connsiteY48" fmla="*/ 2056493 h 4250872"/>
            <a:gd name="connsiteX49" fmla="*/ 2139011 w 4250872"/>
            <a:gd name="connsiteY49" fmla="*/ 1789123 h 4250872"/>
            <a:gd name="connsiteX50" fmla="*/ 1990827 w 4250872"/>
            <a:gd name="connsiteY50" fmla="*/ 1680281 h 4250872"/>
            <a:gd name="connsiteX51" fmla="*/ 2078030 w 4250872"/>
            <a:gd name="connsiteY51" fmla="*/ 1690745 h 4250872"/>
            <a:gd name="connsiteX52" fmla="*/ 2134228 w 4250872"/>
            <a:gd name="connsiteY52" fmla="*/ 1707399 h 4250872"/>
            <a:gd name="connsiteX53" fmla="*/ 2089421 w 4250872"/>
            <a:gd name="connsiteY53" fmla="*/ 1752206 h 4250872"/>
            <a:gd name="connsiteX54" fmla="*/ 2009960 w 4250872"/>
            <a:gd name="connsiteY54" fmla="*/ 2012100 h 4250872"/>
            <a:gd name="connsiteX55" fmla="*/ 2011910 w 4250872"/>
            <a:gd name="connsiteY55" fmla="*/ 2018676 h 4250872"/>
            <a:gd name="connsiteX56" fmla="*/ 2011910 w 4250872"/>
            <a:gd name="connsiteY56" fmla="*/ 2018677 h 4250872"/>
            <a:gd name="connsiteX57" fmla="*/ 2025853 w 4250872"/>
            <a:gd name="connsiteY57" fmla="*/ 2065723 h 4250872"/>
            <a:gd name="connsiteX58" fmla="*/ 2052340 w 4250872"/>
            <a:gd name="connsiteY58" fmla="*/ 2116056 h 4250872"/>
            <a:gd name="connsiteX59" fmla="*/ 2089419 w 4250872"/>
            <a:gd name="connsiteY59" fmla="*/ 2161450 h 4250872"/>
            <a:gd name="connsiteX60" fmla="*/ 2089422 w 4250872"/>
            <a:gd name="connsiteY60" fmla="*/ 2161452 h 4250872"/>
            <a:gd name="connsiteX61" fmla="*/ 2089424 w 4250872"/>
            <a:gd name="connsiteY61" fmla="*/ 2161455 h 4250872"/>
            <a:gd name="connsiteX62" fmla="*/ 2132715 w 4250872"/>
            <a:gd name="connsiteY62" fmla="*/ 2226648 h 4250872"/>
            <a:gd name="connsiteX63" fmla="*/ 2089423 w 4250872"/>
            <a:gd name="connsiteY63" fmla="*/ 2440168 h 4250872"/>
            <a:gd name="connsiteX64" fmla="*/ 2008575 w 4250872"/>
            <a:gd name="connsiteY64" fmla="*/ 2521016 h 4250872"/>
            <a:gd name="connsiteX65" fmla="*/ 1939815 w 4250872"/>
            <a:gd name="connsiteY65" fmla="*/ 2484833 h 4250872"/>
            <a:gd name="connsiteX66" fmla="*/ 1844168 w 4250872"/>
            <a:gd name="connsiteY66" fmla="*/ 2406704 h 4250872"/>
            <a:gd name="connsiteX67" fmla="*/ 1766040 w 4250872"/>
            <a:gd name="connsiteY67" fmla="*/ 2311058 h 4250872"/>
            <a:gd name="connsiteX68" fmla="*/ 1729857 w 4250872"/>
            <a:gd name="connsiteY68" fmla="*/ 2242300 h 4250872"/>
            <a:gd name="connsiteX69" fmla="*/ 1710234 w 4250872"/>
            <a:gd name="connsiteY69" fmla="*/ 2205009 h 4250872"/>
            <a:gd name="connsiteX70" fmla="*/ 1693404 w 4250872"/>
            <a:gd name="connsiteY70" fmla="*/ 2148223 h 4250872"/>
            <a:gd name="connsiteX71" fmla="*/ 1693403 w 4250872"/>
            <a:gd name="connsiteY71" fmla="*/ 2148224 h 4250872"/>
            <a:gd name="connsiteX72" fmla="*/ 1676749 w 4250872"/>
            <a:gd name="connsiteY72" fmla="*/ 2092027 h 4250872"/>
            <a:gd name="connsiteX73" fmla="*/ 1710233 w 4250872"/>
            <a:gd name="connsiteY73" fmla="*/ 1746141 h 4250872"/>
            <a:gd name="connsiteX74" fmla="*/ 1717788 w 4250872"/>
            <a:gd name="connsiteY74" fmla="*/ 1731782 h 4250872"/>
            <a:gd name="connsiteX75" fmla="*/ 1732144 w 4250872"/>
            <a:gd name="connsiteY75" fmla="*/ 1724228 h 4250872"/>
            <a:gd name="connsiteX76" fmla="*/ 1990827 w 4250872"/>
            <a:gd name="connsiteY76" fmla="*/ 1680281 h 4250872"/>
            <a:gd name="connsiteX77" fmla="*/ 2855175 w 4250872"/>
            <a:gd name="connsiteY77" fmla="*/ 785987 h 4250872"/>
            <a:gd name="connsiteX78" fmla="*/ 3286305 w 4250872"/>
            <a:gd name="connsiteY78" fmla="*/ 964567 h 4250872"/>
            <a:gd name="connsiteX79" fmla="*/ 3286306 w 4250872"/>
            <a:gd name="connsiteY79" fmla="*/ 964566 h 4250872"/>
            <a:gd name="connsiteX80" fmla="*/ 3286306 w 4250872"/>
            <a:gd name="connsiteY80" fmla="*/ 1826826 h 4250872"/>
            <a:gd name="connsiteX81" fmla="*/ 2706427 w 4250872"/>
            <a:gd name="connsiteY81" fmla="*/ 2406705 h 4250872"/>
            <a:gd name="connsiteX82" fmla="*/ 2632339 w 4250872"/>
            <a:gd name="connsiteY82" fmla="*/ 2467223 h 4250872"/>
            <a:gd name="connsiteX83" fmla="*/ 2643060 w 4250872"/>
            <a:gd name="connsiteY83" fmla="*/ 2431050 h 4250872"/>
            <a:gd name="connsiteX84" fmla="*/ 2643060 w 4250872"/>
            <a:gd name="connsiteY84" fmla="*/ 2162892 h 4250872"/>
            <a:gd name="connsiteX85" fmla="*/ 2609722 w 4250872"/>
            <a:gd name="connsiteY85" fmla="*/ 2050399 h 4250872"/>
            <a:gd name="connsiteX86" fmla="*/ 3046620 w 4250872"/>
            <a:gd name="connsiteY86" fmla="*/ 1613500 h 4250872"/>
            <a:gd name="connsiteX87" fmla="*/ 3046620 w 4250872"/>
            <a:gd name="connsiteY87" fmla="*/ 1204254 h 4250872"/>
            <a:gd name="connsiteX88" fmla="*/ 2637374 w 4250872"/>
            <a:gd name="connsiteY88" fmla="*/ 1204254 h 4250872"/>
            <a:gd name="connsiteX89" fmla="*/ 2200475 w 4250872"/>
            <a:gd name="connsiteY89" fmla="*/ 1641152 h 4250872"/>
            <a:gd name="connsiteX90" fmla="*/ 2200474 w 4250872"/>
            <a:gd name="connsiteY90" fmla="*/ 1641151 h 4250872"/>
            <a:gd name="connsiteX91" fmla="*/ 2134228 w 4250872"/>
            <a:gd name="connsiteY91" fmla="*/ 1707398 h 4250872"/>
            <a:gd name="connsiteX92" fmla="*/ 2078029 w 4250872"/>
            <a:gd name="connsiteY92" fmla="*/ 1690744 h 4250872"/>
            <a:gd name="connsiteX93" fmla="*/ 1732143 w 4250872"/>
            <a:gd name="connsiteY93" fmla="*/ 1724227 h 4250872"/>
            <a:gd name="connsiteX94" fmla="*/ 1717787 w 4250872"/>
            <a:gd name="connsiteY94" fmla="*/ 1731781 h 4250872"/>
            <a:gd name="connsiteX95" fmla="*/ 1766039 w 4250872"/>
            <a:gd name="connsiteY95" fmla="*/ 1640092 h 4250872"/>
            <a:gd name="connsiteX96" fmla="*/ 1783649 w 4250872"/>
            <a:gd name="connsiteY96" fmla="*/ 1618534 h 4250872"/>
            <a:gd name="connsiteX97" fmla="*/ 1783651 w 4250872"/>
            <a:gd name="connsiteY97" fmla="*/ 1618533 h 4250872"/>
            <a:gd name="connsiteX98" fmla="*/ 1844168 w 4250872"/>
            <a:gd name="connsiteY98" fmla="*/ 1544446 h 4250872"/>
            <a:gd name="connsiteX99" fmla="*/ 2424045 w 4250872"/>
            <a:gd name="connsiteY99" fmla="*/ 964567 h 4250872"/>
            <a:gd name="connsiteX100" fmla="*/ 2855175 w 4250872"/>
            <a:gd name="connsiteY100" fmla="*/ 785987 h 4250872"/>
            <a:gd name="connsiteX101" fmla="*/ 2125435 w 4250872"/>
            <a:gd name="connsiteY101" fmla="*/ 266463 h 4250872"/>
            <a:gd name="connsiteX102" fmla="*/ 266463 w 4250872"/>
            <a:gd name="connsiteY102" fmla="*/ 2125435 h 4250872"/>
            <a:gd name="connsiteX103" fmla="*/ 2125435 w 4250872"/>
            <a:gd name="connsiteY103" fmla="*/ 3984407 h 4250872"/>
            <a:gd name="connsiteX104" fmla="*/ 3984407 w 4250872"/>
            <a:gd name="connsiteY104" fmla="*/ 2125435 h 4250872"/>
            <a:gd name="connsiteX105" fmla="*/ 2125435 w 4250872"/>
            <a:gd name="connsiteY105" fmla="*/ 266463 h 4250872"/>
            <a:gd name="connsiteX106" fmla="*/ 2125436 w 4250872"/>
            <a:gd name="connsiteY106" fmla="*/ 0 h 4250872"/>
            <a:gd name="connsiteX107" fmla="*/ 4250872 w 4250872"/>
            <a:gd name="connsiteY107" fmla="*/ 2125436 h 4250872"/>
            <a:gd name="connsiteX108" fmla="*/ 2125436 w 4250872"/>
            <a:gd name="connsiteY108" fmla="*/ 4250872 h 4250872"/>
            <a:gd name="connsiteX109" fmla="*/ 0 w 4250872"/>
            <a:gd name="connsiteY109" fmla="*/ 2125436 h 4250872"/>
            <a:gd name="connsiteX110" fmla="*/ 2125436 w 4250872"/>
            <a:gd name="connsiteY110" fmla="*/ 0 h 42508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</a:cxnLst>
          <a:rect l="l" t="t" r="r" b="b"/>
          <a:pathLst>
            <a:path w="4250872" h="4250872">
              <a:moveTo>
                <a:pt x="2123136" y="2070418"/>
              </a:moveTo>
              <a:lnTo>
                <a:pt x="2154685" y="2096189"/>
              </a:lnTo>
              <a:lnTo>
                <a:pt x="2170560" y="2115622"/>
              </a:lnTo>
              <a:lnTo>
                <a:pt x="2139010" y="2089852"/>
              </a:lnTo>
              <a:close/>
              <a:moveTo>
                <a:pt x="1601747" y="1799924"/>
              </a:moveTo>
              <a:lnTo>
                <a:pt x="1590811" y="1836827"/>
              </a:lnTo>
              <a:cubicBezTo>
                <a:pt x="1573677" y="1925326"/>
                <a:pt x="1573677" y="2016487"/>
                <a:pt x="1590811" y="2104985"/>
              </a:cubicBezTo>
              <a:lnTo>
                <a:pt x="1624149" y="2217478"/>
              </a:lnTo>
              <a:lnTo>
                <a:pt x="1202591" y="2639037"/>
              </a:lnTo>
              <a:cubicBezTo>
                <a:pt x="1089580" y="2752047"/>
                <a:pt x="1089580" y="2935273"/>
                <a:pt x="1202591" y="3048283"/>
              </a:cubicBezTo>
              <a:cubicBezTo>
                <a:pt x="1315601" y="3161294"/>
                <a:pt x="1498827" y="3161294"/>
                <a:pt x="1611837" y="3048283"/>
              </a:cubicBezTo>
              <a:lnTo>
                <a:pt x="2033396" y="2626725"/>
              </a:lnTo>
              <a:lnTo>
                <a:pt x="2102651" y="2557470"/>
              </a:lnTo>
              <a:lnTo>
                <a:pt x="2158846" y="2574124"/>
              </a:lnTo>
              <a:cubicBezTo>
                <a:pt x="2274142" y="2596446"/>
                <a:pt x="2394638" y="2585286"/>
                <a:pt x="2504731" y="2540640"/>
              </a:cubicBezTo>
              <a:lnTo>
                <a:pt x="2519089" y="2533084"/>
              </a:lnTo>
              <a:lnTo>
                <a:pt x="2470838" y="2624776"/>
              </a:lnTo>
              <a:lnTo>
                <a:pt x="2450947" y="2649129"/>
              </a:lnTo>
              <a:lnTo>
                <a:pt x="2392710" y="2720423"/>
              </a:lnTo>
              <a:lnTo>
                <a:pt x="1826826" y="3286306"/>
              </a:lnTo>
              <a:cubicBezTo>
                <a:pt x="1618483" y="3494650"/>
                <a:pt x="1296872" y="3520693"/>
                <a:pt x="1060213" y="3364435"/>
              </a:cubicBezTo>
              <a:lnTo>
                <a:pt x="964566" y="3286306"/>
              </a:lnTo>
              <a:lnTo>
                <a:pt x="886438" y="3190660"/>
              </a:lnTo>
              <a:cubicBezTo>
                <a:pt x="730181" y="2954001"/>
                <a:pt x="756224" y="2632390"/>
                <a:pt x="964567" y="2424047"/>
              </a:cubicBezTo>
              <a:lnTo>
                <a:pt x="1530449" y="1858164"/>
              </a:lnTo>
              <a:close/>
              <a:moveTo>
                <a:pt x="2199462" y="1728672"/>
              </a:moveTo>
              <a:lnTo>
                <a:pt x="2297062" y="1780034"/>
              </a:lnTo>
              <a:cubicBezTo>
                <a:pt x="2330871" y="1802356"/>
                <a:pt x="2362946" y="1828400"/>
                <a:pt x="2392709" y="1858163"/>
              </a:cubicBezTo>
              <a:lnTo>
                <a:pt x="2392710" y="1858162"/>
              </a:lnTo>
              <a:cubicBezTo>
                <a:pt x="2422473" y="1887925"/>
                <a:pt x="2448517" y="1920000"/>
                <a:pt x="2470839" y="1953809"/>
              </a:cubicBezTo>
              <a:lnTo>
                <a:pt x="2507023" y="2022568"/>
              </a:lnTo>
              <a:lnTo>
                <a:pt x="2526645" y="2059857"/>
              </a:lnTo>
              <a:lnTo>
                <a:pt x="2543475" y="2116644"/>
              </a:lnTo>
              <a:lnTo>
                <a:pt x="2560128" y="2172840"/>
              </a:lnTo>
              <a:cubicBezTo>
                <a:pt x="2582450" y="2288135"/>
                <a:pt x="2571290" y="2408632"/>
                <a:pt x="2526644" y="2518725"/>
              </a:cubicBezTo>
              <a:lnTo>
                <a:pt x="2519089" y="2533083"/>
              </a:lnTo>
              <a:lnTo>
                <a:pt x="2504731" y="2540638"/>
              </a:lnTo>
              <a:cubicBezTo>
                <a:pt x="2394638" y="2585284"/>
                <a:pt x="2274141" y="2596444"/>
                <a:pt x="2158846" y="2574122"/>
              </a:cubicBezTo>
              <a:lnTo>
                <a:pt x="2102651" y="2557468"/>
              </a:lnTo>
              <a:lnTo>
                <a:pt x="2154685" y="2505434"/>
              </a:lnTo>
              <a:cubicBezTo>
                <a:pt x="2225316" y="2434803"/>
                <a:pt x="2251803" y="2336743"/>
                <a:pt x="2234146" y="2245541"/>
              </a:cubicBezTo>
              <a:lnTo>
                <a:pt x="2232196" y="2238963"/>
              </a:lnTo>
              <a:lnTo>
                <a:pt x="2218254" y="2191917"/>
              </a:lnTo>
              <a:cubicBezTo>
                <a:pt x="2211190" y="2174499"/>
                <a:pt x="2202361" y="2157630"/>
                <a:pt x="2191767" y="2141583"/>
              </a:cubicBezTo>
              <a:lnTo>
                <a:pt x="2170560" y="2115620"/>
              </a:lnTo>
              <a:lnTo>
                <a:pt x="2170561" y="2115621"/>
              </a:lnTo>
              <a:lnTo>
                <a:pt x="2154686" y="2096188"/>
              </a:lnTo>
              <a:lnTo>
                <a:pt x="2123136" y="2070417"/>
              </a:lnTo>
              <a:lnTo>
                <a:pt x="2111763" y="2056493"/>
              </a:lnTo>
              <a:cubicBezTo>
                <a:pt x="2057265" y="1973954"/>
                <a:pt x="2066348" y="1861786"/>
                <a:pt x="2139011" y="1789123"/>
              </a:cubicBezTo>
              <a:close/>
              <a:moveTo>
                <a:pt x="1990827" y="1680281"/>
              </a:moveTo>
              <a:cubicBezTo>
                <a:pt x="2020057" y="1681676"/>
                <a:pt x="2049206" y="1685164"/>
                <a:pt x="2078030" y="1690745"/>
              </a:cubicBezTo>
              <a:lnTo>
                <a:pt x="2134228" y="1707399"/>
              </a:lnTo>
              <a:lnTo>
                <a:pt x="2089421" y="1752206"/>
              </a:lnTo>
              <a:cubicBezTo>
                <a:pt x="2018790" y="1822838"/>
                <a:pt x="1992303" y="1920898"/>
                <a:pt x="2009960" y="2012100"/>
              </a:cubicBezTo>
              <a:lnTo>
                <a:pt x="2011910" y="2018676"/>
              </a:lnTo>
              <a:lnTo>
                <a:pt x="2011910" y="2018677"/>
              </a:lnTo>
              <a:lnTo>
                <a:pt x="2025853" y="2065723"/>
              </a:lnTo>
              <a:cubicBezTo>
                <a:pt x="2032916" y="2083141"/>
                <a:pt x="2041745" y="2100010"/>
                <a:pt x="2052340" y="2116056"/>
              </a:cubicBezTo>
              <a:lnTo>
                <a:pt x="2089419" y="2161450"/>
              </a:lnTo>
              <a:lnTo>
                <a:pt x="2089422" y="2161452"/>
              </a:lnTo>
              <a:lnTo>
                <a:pt x="2089424" y="2161455"/>
              </a:lnTo>
              <a:lnTo>
                <a:pt x="2132715" y="2226648"/>
              </a:lnTo>
              <a:cubicBezTo>
                <a:pt x="2161577" y="2297821"/>
                <a:pt x="2147146" y="2382444"/>
                <a:pt x="2089423" y="2440168"/>
              </a:cubicBezTo>
              <a:lnTo>
                <a:pt x="2008575" y="2521016"/>
              </a:lnTo>
              <a:lnTo>
                <a:pt x="1939815" y="2484833"/>
              </a:lnTo>
              <a:lnTo>
                <a:pt x="1844168" y="2406704"/>
              </a:lnTo>
              <a:lnTo>
                <a:pt x="1766040" y="2311058"/>
              </a:lnTo>
              <a:lnTo>
                <a:pt x="1729857" y="2242300"/>
              </a:lnTo>
              <a:lnTo>
                <a:pt x="1710234" y="2205009"/>
              </a:lnTo>
              <a:lnTo>
                <a:pt x="1693404" y="2148223"/>
              </a:lnTo>
              <a:lnTo>
                <a:pt x="1693403" y="2148224"/>
              </a:lnTo>
              <a:lnTo>
                <a:pt x="1676749" y="2092027"/>
              </a:lnTo>
              <a:cubicBezTo>
                <a:pt x="1654427" y="1976732"/>
                <a:pt x="1665588" y="1856235"/>
                <a:pt x="1710233" y="1746141"/>
              </a:cubicBezTo>
              <a:lnTo>
                <a:pt x="1717788" y="1731782"/>
              </a:lnTo>
              <a:lnTo>
                <a:pt x="1732144" y="1724228"/>
              </a:lnTo>
              <a:cubicBezTo>
                <a:pt x="1814715" y="1690745"/>
                <a:pt x="1903137" y="1676096"/>
                <a:pt x="1990827" y="1680281"/>
              </a:cubicBezTo>
              <a:close/>
              <a:moveTo>
                <a:pt x="2855175" y="785987"/>
              </a:moveTo>
              <a:cubicBezTo>
                <a:pt x="3011213" y="785987"/>
                <a:pt x="3167252" y="845514"/>
                <a:pt x="3286305" y="964567"/>
              </a:cubicBezTo>
              <a:lnTo>
                <a:pt x="3286306" y="964566"/>
              </a:lnTo>
              <a:cubicBezTo>
                <a:pt x="3524413" y="1202673"/>
                <a:pt x="3524413" y="1588720"/>
                <a:pt x="3286306" y="1826826"/>
              </a:cubicBezTo>
              <a:lnTo>
                <a:pt x="2706427" y="2406705"/>
              </a:lnTo>
              <a:lnTo>
                <a:pt x="2632339" y="2467223"/>
              </a:lnTo>
              <a:lnTo>
                <a:pt x="2643060" y="2431050"/>
              </a:lnTo>
              <a:cubicBezTo>
                <a:pt x="2660194" y="2342552"/>
                <a:pt x="2660194" y="2251391"/>
                <a:pt x="2643060" y="2162892"/>
              </a:cubicBezTo>
              <a:lnTo>
                <a:pt x="2609722" y="2050399"/>
              </a:lnTo>
              <a:lnTo>
                <a:pt x="3046620" y="1613500"/>
              </a:lnTo>
              <a:cubicBezTo>
                <a:pt x="3159631" y="1500489"/>
                <a:pt x="3159631" y="1317264"/>
                <a:pt x="3046620" y="1204254"/>
              </a:cubicBezTo>
              <a:cubicBezTo>
                <a:pt x="2933609" y="1091243"/>
                <a:pt x="2750384" y="1091243"/>
                <a:pt x="2637374" y="1204254"/>
              </a:cubicBezTo>
              <a:lnTo>
                <a:pt x="2200475" y="1641152"/>
              </a:lnTo>
              <a:lnTo>
                <a:pt x="2200474" y="1641151"/>
              </a:lnTo>
              <a:lnTo>
                <a:pt x="2134228" y="1707398"/>
              </a:lnTo>
              <a:lnTo>
                <a:pt x="2078029" y="1690744"/>
              </a:lnTo>
              <a:cubicBezTo>
                <a:pt x="1962734" y="1668422"/>
                <a:pt x="1842238" y="1679582"/>
                <a:pt x="1732143" y="1724227"/>
              </a:cubicBezTo>
              <a:lnTo>
                <a:pt x="1717787" y="1731781"/>
              </a:lnTo>
              <a:lnTo>
                <a:pt x="1766039" y="1640092"/>
              </a:lnTo>
              <a:lnTo>
                <a:pt x="1783649" y="1618534"/>
              </a:lnTo>
              <a:lnTo>
                <a:pt x="1783651" y="1618533"/>
              </a:lnTo>
              <a:lnTo>
                <a:pt x="1844168" y="1544446"/>
              </a:lnTo>
              <a:lnTo>
                <a:pt x="2424045" y="964567"/>
              </a:lnTo>
              <a:cubicBezTo>
                <a:pt x="2543099" y="845514"/>
                <a:pt x="2699137" y="785987"/>
                <a:pt x="2855175" y="785987"/>
              </a:cubicBezTo>
              <a:close/>
              <a:moveTo>
                <a:pt x="2125435" y="266463"/>
              </a:moveTo>
              <a:cubicBezTo>
                <a:pt x="1098753" y="266463"/>
                <a:pt x="266463" y="1098753"/>
                <a:pt x="266463" y="2125435"/>
              </a:cubicBezTo>
              <a:cubicBezTo>
                <a:pt x="266463" y="3152117"/>
                <a:pt x="1098753" y="3984407"/>
                <a:pt x="2125435" y="3984407"/>
              </a:cubicBezTo>
              <a:cubicBezTo>
                <a:pt x="3152117" y="3984407"/>
                <a:pt x="3984407" y="3152117"/>
                <a:pt x="3984407" y="2125435"/>
              </a:cubicBezTo>
              <a:cubicBezTo>
                <a:pt x="3984407" y="1098753"/>
                <a:pt x="3152117" y="266463"/>
                <a:pt x="2125435" y="266463"/>
              </a:cubicBezTo>
              <a:close/>
              <a:moveTo>
                <a:pt x="2125436" y="0"/>
              </a:moveTo>
              <a:cubicBezTo>
                <a:pt x="3299282" y="0"/>
                <a:pt x="4250872" y="951590"/>
                <a:pt x="4250872" y="2125436"/>
              </a:cubicBezTo>
              <a:cubicBezTo>
                <a:pt x="4250872" y="3299282"/>
                <a:pt x="3299282" y="4250872"/>
                <a:pt x="2125436" y="4250872"/>
              </a:cubicBezTo>
              <a:cubicBezTo>
                <a:pt x="951590" y="4250872"/>
                <a:pt x="0" y="3299282"/>
                <a:pt x="0" y="2125436"/>
              </a:cubicBezTo>
              <a:cubicBezTo>
                <a:pt x="0" y="951590"/>
                <a:pt x="951590" y="0"/>
                <a:pt x="2125436" y="0"/>
              </a:cubicBezTo>
              <a:close/>
            </a:path>
          </a:pathLst>
        </a:custGeom>
        <a:solidFill>
          <a:schemeClr val="bg1"/>
        </a:solidFill>
        <a:ln w="2540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0</xdr:colOff>
      <xdr:row>2</xdr:row>
      <xdr:rowOff>123477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0" y="0"/>
          <a:ext cx="13350240" cy="451137"/>
          <a:chOff x="0" y="0"/>
          <a:chExt cx="13020675" cy="456852"/>
        </a:xfrm>
      </xdr:grpSpPr>
      <xdr:sp macro="" textlink="">
        <xdr:nvSpPr>
          <xdr:cNvPr id="411" name="Retângulo 410">
            <a:extLst>
              <a:ext uri="{FF2B5EF4-FFF2-40B4-BE49-F238E27FC236}">
                <a16:creationId xmlns:a16="http://schemas.microsoft.com/office/drawing/2014/main" id="{00000000-0008-0000-0100-00009B010000}"/>
              </a:ext>
            </a:extLst>
          </xdr:cNvPr>
          <xdr:cNvSpPr/>
        </xdr:nvSpPr>
        <xdr:spPr>
          <a:xfrm>
            <a:off x="0" y="0"/>
            <a:ext cx="13020675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17" name="Retângulo: Cantos Arredondados 316">
            <a:extLst>
              <a:ext uri="{FF2B5EF4-FFF2-40B4-BE49-F238E27FC236}">
                <a16:creationId xmlns:a16="http://schemas.microsoft.com/office/drawing/2014/main" id="{00000000-0008-0000-0100-00003D010000}"/>
              </a:ext>
            </a:extLst>
          </xdr:cNvPr>
          <xdr:cNvSpPr/>
        </xdr:nvSpPr>
        <xdr:spPr>
          <a:xfrm>
            <a:off x="3333041" y="126568"/>
            <a:ext cx="45919" cy="243680"/>
          </a:xfrm>
          <a:prstGeom prst="roundRect">
            <a:avLst>
              <a:gd name="adj" fmla="val 50000"/>
            </a:avLst>
          </a:prstGeom>
          <a:solidFill>
            <a:schemeClr val="tx1">
              <a:alpha val="2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endParaRPr lang="pt-BR" sz="1100">
              <a:solidFill>
                <a:schemeClr val="lt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grpSp>
        <xdr:nvGrpSpPr>
          <xdr:cNvPr id="318" name="Agrupar 317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00000000-0008-0000-0100-00003E010000}"/>
              </a:ext>
            </a:extLst>
          </xdr:cNvPr>
          <xdr:cNvGrpSpPr/>
        </xdr:nvGrpSpPr>
        <xdr:grpSpPr>
          <a:xfrm>
            <a:off x="5252438" y="123825"/>
            <a:ext cx="1165435" cy="243701"/>
            <a:chOff x="3341571" y="88944"/>
            <a:chExt cx="1169375" cy="243701"/>
          </a:xfrm>
        </xdr:grpSpPr>
        <xdr:sp macro="" textlink="">
          <xdr:nvSpPr>
            <xdr:cNvPr id="319" name="Retângulo: Cantos Arredondados 318">
              <a:hlinkClick xmlns:r="http://schemas.openxmlformats.org/officeDocument/2006/relationships" r:id="rId38"/>
              <a:extLst>
                <a:ext uri="{FF2B5EF4-FFF2-40B4-BE49-F238E27FC236}">
                  <a16:creationId xmlns:a16="http://schemas.microsoft.com/office/drawing/2014/main" id="{00000000-0008-0000-0100-00003F010000}"/>
                </a:ext>
              </a:extLst>
            </xdr:cNvPr>
            <xdr:cNvSpPr/>
          </xdr:nvSpPr>
          <xdr:spPr>
            <a:xfrm>
              <a:off x="3341571" y="88944"/>
              <a:ext cx="1169375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algn="ctr"/>
              <a:r>
                <a:rPr lang="pt-BR" sz="110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Resistência</a:t>
              </a:r>
              <a:r>
                <a:rPr lang="pt-BR" sz="1100" baseline="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 </a:t>
              </a:r>
              <a:endParaRPr lang="pt-BR" sz="1100"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20" name="Forma Livre: Forma 319">
              <a:extLst>
                <a:ext uri="{FF2B5EF4-FFF2-40B4-BE49-F238E27FC236}">
                  <a16:creationId xmlns:a16="http://schemas.microsoft.com/office/drawing/2014/main" id="{00000000-0008-0000-0100-000040010000}"/>
                </a:ext>
              </a:extLst>
            </xdr:cNvPr>
            <xdr:cNvSpPr>
              <a:spLocks noChangeAspect="1"/>
            </xdr:cNvSpPr>
          </xdr:nvSpPr>
          <xdr:spPr>
            <a:xfrm>
              <a:off x="3386968" y="120794"/>
              <a:ext cx="152261" cy="180000"/>
            </a:xfrm>
            <a:custGeom>
              <a:avLst/>
              <a:gdLst>
                <a:gd name="connsiteX0" fmla="*/ 2054694 w 2887985"/>
                <a:gd name="connsiteY0" fmla="*/ 1117429 h 3390900"/>
                <a:gd name="connsiteX1" fmla="*/ 2229809 w 2887985"/>
                <a:gd name="connsiteY1" fmla="*/ 1292544 h 3390900"/>
                <a:gd name="connsiteX2" fmla="*/ 1180556 w 2887985"/>
                <a:gd name="connsiteY2" fmla="*/ 2341796 h 3390900"/>
                <a:gd name="connsiteX3" fmla="*/ 640894 w 2887985"/>
                <a:gd name="connsiteY3" fmla="*/ 1802134 h 3390900"/>
                <a:gd name="connsiteX4" fmla="*/ 816009 w 2887985"/>
                <a:gd name="connsiteY4" fmla="*/ 1627019 h 3390900"/>
                <a:gd name="connsiteX5" fmla="*/ 1180556 w 2887985"/>
                <a:gd name="connsiteY5" fmla="*/ 1991566 h 3390900"/>
                <a:gd name="connsiteX6" fmla="*/ 1447238 w 2887985"/>
                <a:gd name="connsiteY6" fmla="*/ 252005 h 3390900"/>
                <a:gd name="connsiteX7" fmla="*/ 221121 w 2887985"/>
                <a:gd name="connsiteY7" fmla="*/ 673686 h 3390900"/>
                <a:gd name="connsiteX8" fmla="*/ 214633 w 2887985"/>
                <a:gd name="connsiteY8" fmla="*/ 1854391 h 3390900"/>
                <a:gd name="connsiteX9" fmla="*/ 1434263 w 2887985"/>
                <a:gd name="connsiteY9" fmla="*/ 3138895 h 3390900"/>
                <a:gd name="connsiteX10" fmla="*/ 2673355 w 2887985"/>
                <a:gd name="connsiteY10" fmla="*/ 1854391 h 3390900"/>
                <a:gd name="connsiteX11" fmla="*/ 2673355 w 2887985"/>
                <a:gd name="connsiteY11" fmla="*/ 686660 h 3390900"/>
                <a:gd name="connsiteX12" fmla="*/ 1447805 w 2887985"/>
                <a:gd name="connsiteY12" fmla="*/ 0 h 3390900"/>
                <a:gd name="connsiteX13" fmla="*/ 2887985 w 2887985"/>
                <a:gd name="connsiteY13" fmla="*/ 510540 h 3390900"/>
                <a:gd name="connsiteX14" fmla="*/ 2887985 w 2887985"/>
                <a:gd name="connsiteY14" fmla="*/ 1882140 h 3390900"/>
                <a:gd name="connsiteX15" fmla="*/ 1432565 w 2887985"/>
                <a:gd name="connsiteY15" fmla="*/ 3390900 h 3390900"/>
                <a:gd name="connsiteX16" fmla="*/ 5 w 2887985"/>
                <a:gd name="connsiteY16" fmla="*/ 1882140 h 3390900"/>
                <a:gd name="connsiteX17" fmla="*/ 7625 w 2887985"/>
                <a:gd name="connsiteY17" fmla="*/ 495300 h 33909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87985" h="3390900">
                  <a:moveTo>
                    <a:pt x="2054694" y="1117429"/>
                  </a:moveTo>
                  <a:lnTo>
                    <a:pt x="2229809" y="1292544"/>
                  </a:lnTo>
                  <a:lnTo>
                    <a:pt x="1180556" y="2341796"/>
                  </a:lnTo>
                  <a:lnTo>
                    <a:pt x="640894" y="1802134"/>
                  </a:lnTo>
                  <a:lnTo>
                    <a:pt x="816009" y="1627019"/>
                  </a:lnTo>
                  <a:lnTo>
                    <a:pt x="1180556" y="1991566"/>
                  </a:lnTo>
                  <a:close/>
                  <a:moveTo>
                    <a:pt x="1447238" y="252005"/>
                  </a:moveTo>
                  <a:lnTo>
                    <a:pt x="221121" y="673686"/>
                  </a:lnTo>
                  <a:lnTo>
                    <a:pt x="214633" y="1854391"/>
                  </a:lnTo>
                  <a:cubicBezTo>
                    <a:pt x="212471" y="2723702"/>
                    <a:pt x="1177741" y="3035096"/>
                    <a:pt x="1434263" y="3138895"/>
                  </a:cubicBezTo>
                  <a:cubicBezTo>
                    <a:pt x="1689162" y="3039151"/>
                    <a:pt x="2669030" y="2710727"/>
                    <a:pt x="2673355" y="1854391"/>
                  </a:cubicBezTo>
                  <a:lnTo>
                    <a:pt x="2673355" y="686660"/>
                  </a:lnTo>
                  <a:close/>
                  <a:moveTo>
                    <a:pt x="1447805" y="0"/>
                  </a:moveTo>
                  <a:lnTo>
                    <a:pt x="2887985" y="510540"/>
                  </a:lnTo>
                  <a:lnTo>
                    <a:pt x="2887985" y="1882140"/>
                  </a:lnTo>
                  <a:cubicBezTo>
                    <a:pt x="2882905" y="2887980"/>
                    <a:pt x="1731966" y="3273742"/>
                    <a:pt x="1432565" y="3390900"/>
                  </a:cubicBezTo>
                  <a:cubicBezTo>
                    <a:pt x="1131258" y="3268979"/>
                    <a:pt x="-2535" y="2903220"/>
                    <a:pt x="5" y="1882140"/>
                  </a:cubicBezTo>
                  <a:lnTo>
                    <a:pt x="7625" y="495300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noFill/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21" name="Agrupar 320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00000000-0008-0000-0100-000041010000}"/>
              </a:ext>
            </a:extLst>
          </xdr:cNvPr>
          <xdr:cNvGrpSpPr/>
        </xdr:nvGrpSpPr>
        <xdr:grpSpPr>
          <a:xfrm>
            <a:off x="3901291" y="123825"/>
            <a:ext cx="1105113" cy="243701"/>
            <a:chOff x="3573869" y="104252"/>
            <a:chExt cx="1105394" cy="243701"/>
          </a:xfrm>
        </xdr:grpSpPr>
        <xdr:sp macro="" textlink="">
          <xdr:nvSpPr>
            <xdr:cNvPr id="322" name="Retângulo: Cantos Arredondados 321">
              <a:extLst>
                <a:ext uri="{FF2B5EF4-FFF2-40B4-BE49-F238E27FC236}">
                  <a16:creationId xmlns:a16="http://schemas.microsoft.com/office/drawing/2014/main" id="{00000000-0008-0000-0100-000042010000}"/>
                </a:ext>
              </a:extLst>
            </xdr:cNvPr>
            <xdr:cNvSpPr/>
          </xdr:nvSpPr>
          <xdr:spPr>
            <a:xfrm>
              <a:off x="3573869" y="104252"/>
              <a:ext cx="1105394" cy="243701"/>
            </a:xfrm>
            <a:prstGeom prst="roundRect">
              <a:avLst>
                <a:gd name="adj" fmla="val 50000"/>
              </a:avLst>
            </a:prstGeom>
            <a:solidFill>
              <a:srgbClr val="FD3F0B"/>
            </a:solidFill>
            <a:ln>
              <a:noFill/>
            </a:ln>
            <a:effectLst>
              <a:outerShdw blurRad="304800" sx="105000" sy="105000" algn="ctr" rotWithShape="0">
                <a:srgbClr val="FB510D">
                  <a:alpha val="54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tIns="468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Dashboard</a:t>
              </a:r>
            </a:p>
          </xdr:txBody>
        </xdr:sp>
        <xdr:sp macro="" textlink="">
          <xdr:nvSpPr>
            <xdr:cNvPr id="323" name="Forma Livre: Forma 322">
              <a:extLst>
                <a:ext uri="{FF2B5EF4-FFF2-40B4-BE49-F238E27FC236}">
                  <a16:creationId xmlns:a16="http://schemas.microsoft.com/office/drawing/2014/main" id="{00000000-0008-0000-0100-000043010000}"/>
                </a:ext>
              </a:extLst>
            </xdr:cNvPr>
            <xdr:cNvSpPr>
              <a:spLocks noChangeAspect="1"/>
            </xdr:cNvSpPr>
          </xdr:nvSpPr>
          <xdr:spPr>
            <a:xfrm>
              <a:off x="3652639" y="154102"/>
              <a:ext cx="142888" cy="144000"/>
            </a:xfrm>
            <a:custGeom>
              <a:avLst/>
              <a:gdLst>
                <a:gd name="connsiteX0" fmla="*/ 175440 w 3076156"/>
                <a:gd name="connsiteY0" fmla="*/ 2044504 h 3097121"/>
                <a:gd name="connsiteX1" fmla="*/ 1120088 w 3076156"/>
                <a:gd name="connsiteY1" fmla="*/ 2044504 h 3097121"/>
                <a:gd name="connsiteX2" fmla="*/ 1295528 w 3076156"/>
                <a:gd name="connsiteY2" fmla="*/ 2219944 h 3097121"/>
                <a:gd name="connsiteX3" fmla="*/ 1295528 w 3076156"/>
                <a:gd name="connsiteY3" fmla="*/ 2921681 h 3097121"/>
                <a:gd name="connsiteX4" fmla="*/ 1120088 w 3076156"/>
                <a:gd name="connsiteY4" fmla="*/ 3097121 h 3097121"/>
                <a:gd name="connsiteX5" fmla="*/ 175440 w 3076156"/>
                <a:gd name="connsiteY5" fmla="*/ 3097121 h 3097121"/>
                <a:gd name="connsiteX6" fmla="*/ 0 w 3076156"/>
                <a:gd name="connsiteY6" fmla="*/ 2921681 h 3097121"/>
                <a:gd name="connsiteX7" fmla="*/ 0 w 3076156"/>
                <a:gd name="connsiteY7" fmla="*/ 2219944 h 3097121"/>
                <a:gd name="connsiteX8" fmla="*/ 175440 w 3076156"/>
                <a:gd name="connsiteY8" fmla="*/ 2044504 h 3097121"/>
                <a:gd name="connsiteX9" fmla="*/ 1996554 w 3076156"/>
                <a:gd name="connsiteY9" fmla="*/ 1543499 h 3097121"/>
                <a:gd name="connsiteX10" fmla="*/ 2860230 w 3076156"/>
                <a:gd name="connsiteY10" fmla="*/ 1543499 h 3097121"/>
                <a:gd name="connsiteX11" fmla="*/ 3076156 w 3076156"/>
                <a:gd name="connsiteY11" fmla="*/ 1759425 h 3097121"/>
                <a:gd name="connsiteX12" fmla="*/ 3076156 w 3076156"/>
                <a:gd name="connsiteY12" fmla="*/ 2881195 h 3097121"/>
                <a:gd name="connsiteX13" fmla="*/ 2860230 w 3076156"/>
                <a:gd name="connsiteY13" fmla="*/ 3097121 h 3097121"/>
                <a:gd name="connsiteX14" fmla="*/ 1996554 w 3076156"/>
                <a:gd name="connsiteY14" fmla="*/ 3097121 h 3097121"/>
                <a:gd name="connsiteX15" fmla="*/ 1780628 w 3076156"/>
                <a:gd name="connsiteY15" fmla="*/ 2881195 h 3097121"/>
                <a:gd name="connsiteX16" fmla="*/ 1780628 w 3076156"/>
                <a:gd name="connsiteY16" fmla="*/ 1759425 h 3097121"/>
                <a:gd name="connsiteX17" fmla="*/ 1996554 w 3076156"/>
                <a:gd name="connsiteY17" fmla="*/ 1543499 h 3097121"/>
                <a:gd name="connsiteX18" fmla="*/ 1956068 w 3076156"/>
                <a:gd name="connsiteY18" fmla="*/ 0 h 3097121"/>
                <a:gd name="connsiteX19" fmla="*/ 2900716 w 3076156"/>
                <a:gd name="connsiteY19" fmla="*/ 0 h 3097121"/>
                <a:gd name="connsiteX20" fmla="*/ 3076156 w 3076156"/>
                <a:gd name="connsiteY20" fmla="*/ 175440 h 3097121"/>
                <a:gd name="connsiteX21" fmla="*/ 3076156 w 3076156"/>
                <a:gd name="connsiteY21" fmla="*/ 877177 h 3097121"/>
                <a:gd name="connsiteX22" fmla="*/ 2900716 w 3076156"/>
                <a:gd name="connsiteY22" fmla="*/ 1052617 h 3097121"/>
                <a:gd name="connsiteX23" fmla="*/ 1956068 w 3076156"/>
                <a:gd name="connsiteY23" fmla="*/ 1052617 h 3097121"/>
                <a:gd name="connsiteX24" fmla="*/ 1780628 w 3076156"/>
                <a:gd name="connsiteY24" fmla="*/ 877177 h 3097121"/>
                <a:gd name="connsiteX25" fmla="*/ 1780628 w 3076156"/>
                <a:gd name="connsiteY25" fmla="*/ 175440 h 3097121"/>
                <a:gd name="connsiteX26" fmla="*/ 1956068 w 3076156"/>
                <a:gd name="connsiteY26" fmla="*/ 0 h 3097121"/>
                <a:gd name="connsiteX27" fmla="*/ 215926 w 3076156"/>
                <a:gd name="connsiteY27" fmla="*/ 0 h 3097121"/>
                <a:gd name="connsiteX28" fmla="*/ 1079602 w 3076156"/>
                <a:gd name="connsiteY28" fmla="*/ 0 h 3097121"/>
                <a:gd name="connsiteX29" fmla="*/ 1295528 w 3076156"/>
                <a:gd name="connsiteY29" fmla="*/ 215926 h 3097121"/>
                <a:gd name="connsiteX30" fmla="*/ 1295528 w 3076156"/>
                <a:gd name="connsiteY30" fmla="*/ 1337696 h 3097121"/>
                <a:gd name="connsiteX31" fmla="*/ 1079602 w 3076156"/>
                <a:gd name="connsiteY31" fmla="*/ 1553622 h 3097121"/>
                <a:gd name="connsiteX32" fmla="*/ 215926 w 3076156"/>
                <a:gd name="connsiteY32" fmla="*/ 1553622 h 3097121"/>
                <a:gd name="connsiteX33" fmla="*/ 0 w 3076156"/>
                <a:gd name="connsiteY33" fmla="*/ 1337696 h 3097121"/>
                <a:gd name="connsiteX34" fmla="*/ 0 w 3076156"/>
                <a:gd name="connsiteY34" fmla="*/ 215926 h 3097121"/>
                <a:gd name="connsiteX35" fmla="*/ 215926 w 3076156"/>
                <a:gd name="connsiteY35" fmla="*/ 0 h 30971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</a:cxnLst>
              <a:rect l="l" t="t" r="r" b="b"/>
              <a:pathLst>
                <a:path w="3076156" h="3097121">
                  <a:moveTo>
                    <a:pt x="175440" y="2044504"/>
                  </a:moveTo>
                  <a:lnTo>
                    <a:pt x="1120088" y="2044504"/>
                  </a:lnTo>
                  <a:cubicBezTo>
                    <a:pt x="1216981" y="2044504"/>
                    <a:pt x="1295528" y="2123051"/>
                    <a:pt x="1295528" y="2219944"/>
                  </a:cubicBezTo>
                  <a:lnTo>
                    <a:pt x="1295528" y="2921681"/>
                  </a:lnTo>
                  <a:cubicBezTo>
                    <a:pt x="1295528" y="3018574"/>
                    <a:pt x="1216981" y="3097121"/>
                    <a:pt x="1120088" y="3097121"/>
                  </a:cubicBezTo>
                  <a:lnTo>
                    <a:pt x="175440" y="3097121"/>
                  </a:lnTo>
                  <a:cubicBezTo>
                    <a:pt x="78547" y="3097121"/>
                    <a:pt x="0" y="3018574"/>
                    <a:pt x="0" y="2921681"/>
                  </a:cubicBezTo>
                  <a:lnTo>
                    <a:pt x="0" y="2219944"/>
                  </a:lnTo>
                  <a:cubicBezTo>
                    <a:pt x="0" y="2123051"/>
                    <a:pt x="78547" y="2044504"/>
                    <a:pt x="175440" y="2044504"/>
                  </a:cubicBezTo>
                  <a:close/>
                  <a:moveTo>
                    <a:pt x="1996554" y="1543499"/>
                  </a:moveTo>
                  <a:lnTo>
                    <a:pt x="2860230" y="1543499"/>
                  </a:lnTo>
                  <a:cubicBezTo>
                    <a:pt x="2979483" y="1543499"/>
                    <a:pt x="3076156" y="1640172"/>
                    <a:pt x="3076156" y="1759425"/>
                  </a:cubicBezTo>
                  <a:lnTo>
                    <a:pt x="3076156" y="2881195"/>
                  </a:lnTo>
                  <a:cubicBezTo>
                    <a:pt x="3076156" y="3000448"/>
                    <a:pt x="2979483" y="3097121"/>
                    <a:pt x="2860230" y="3097121"/>
                  </a:cubicBezTo>
                  <a:lnTo>
                    <a:pt x="1996554" y="3097121"/>
                  </a:lnTo>
                  <a:cubicBezTo>
                    <a:pt x="1877301" y="3097121"/>
                    <a:pt x="1780628" y="3000448"/>
                    <a:pt x="1780628" y="2881195"/>
                  </a:cubicBezTo>
                  <a:lnTo>
                    <a:pt x="1780628" y="1759425"/>
                  </a:lnTo>
                  <a:cubicBezTo>
                    <a:pt x="1780628" y="1640172"/>
                    <a:pt x="1877301" y="1543499"/>
                    <a:pt x="1996554" y="1543499"/>
                  </a:cubicBezTo>
                  <a:close/>
                  <a:moveTo>
                    <a:pt x="1956068" y="0"/>
                  </a:moveTo>
                  <a:lnTo>
                    <a:pt x="2900716" y="0"/>
                  </a:lnTo>
                  <a:cubicBezTo>
                    <a:pt x="2997609" y="0"/>
                    <a:pt x="3076156" y="78547"/>
                    <a:pt x="3076156" y="175440"/>
                  </a:cubicBezTo>
                  <a:lnTo>
                    <a:pt x="3076156" y="877177"/>
                  </a:lnTo>
                  <a:cubicBezTo>
                    <a:pt x="3076156" y="974070"/>
                    <a:pt x="2997609" y="1052617"/>
                    <a:pt x="2900716" y="1052617"/>
                  </a:cubicBezTo>
                  <a:lnTo>
                    <a:pt x="1956068" y="1052617"/>
                  </a:lnTo>
                  <a:cubicBezTo>
                    <a:pt x="1859175" y="1052617"/>
                    <a:pt x="1780628" y="974070"/>
                    <a:pt x="1780628" y="877177"/>
                  </a:cubicBezTo>
                  <a:lnTo>
                    <a:pt x="1780628" y="175440"/>
                  </a:lnTo>
                  <a:cubicBezTo>
                    <a:pt x="1780628" y="78547"/>
                    <a:pt x="1859175" y="0"/>
                    <a:pt x="1956068" y="0"/>
                  </a:cubicBezTo>
                  <a:close/>
                  <a:moveTo>
                    <a:pt x="215926" y="0"/>
                  </a:moveTo>
                  <a:lnTo>
                    <a:pt x="1079602" y="0"/>
                  </a:lnTo>
                  <a:cubicBezTo>
                    <a:pt x="1198855" y="0"/>
                    <a:pt x="1295528" y="96673"/>
                    <a:pt x="1295528" y="215926"/>
                  </a:cubicBezTo>
                  <a:lnTo>
                    <a:pt x="1295528" y="1337696"/>
                  </a:lnTo>
                  <a:cubicBezTo>
                    <a:pt x="1295528" y="1456949"/>
                    <a:pt x="1198855" y="1553622"/>
                    <a:pt x="1079602" y="1553622"/>
                  </a:cubicBezTo>
                  <a:lnTo>
                    <a:pt x="215926" y="1553622"/>
                  </a:lnTo>
                  <a:cubicBezTo>
                    <a:pt x="96673" y="1553622"/>
                    <a:pt x="0" y="1456949"/>
                    <a:pt x="0" y="1337696"/>
                  </a:cubicBezTo>
                  <a:lnTo>
                    <a:pt x="0" y="215926"/>
                  </a:lnTo>
                  <a:cubicBezTo>
                    <a:pt x="0" y="96673"/>
                    <a:pt x="96673" y="0"/>
                    <a:pt x="215926" y="0"/>
                  </a:cubicBezTo>
                  <a:close/>
                </a:path>
              </a:pathLst>
            </a:custGeom>
            <a:solidFill>
              <a:sysClr val="window" lastClr="FFFFFF"/>
            </a:solidFill>
            <a:ln w="952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24" name="Agrupar 323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00000000-0008-0000-0100-000044010000}"/>
              </a:ext>
            </a:extLst>
          </xdr:cNvPr>
          <xdr:cNvGrpSpPr/>
        </xdr:nvGrpSpPr>
        <xdr:grpSpPr>
          <a:xfrm>
            <a:off x="6663907" y="123825"/>
            <a:ext cx="1323538" cy="243701"/>
            <a:chOff x="5650832" y="88944"/>
            <a:chExt cx="1329890" cy="243701"/>
          </a:xfrm>
        </xdr:grpSpPr>
        <xdr:sp macro="" textlink="">
          <xdr:nvSpPr>
            <xdr:cNvPr id="325" name="Retângulo: Cantos Arredondados 324">
              <a:hlinkClick xmlns:r="http://schemas.openxmlformats.org/officeDocument/2006/relationships" r:id="rId41"/>
              <a:extLst>
                <a:ext uri="{FF2B5EF4-FFF2-40B4-BE49-F238E27FC236}">
                  <a16:creationId xmlns:a16="http://schemas.microsoft.com/office/drawing/2014/main" id="{00000000-0008-0000-0100-000045010000}"/>
                </a:ext>
              </a:extLst>
            </xdr:cNvPr>
            <xdr:cNvSpPr/>
          </xdr:nvSpPr>
          <xdr:spPr>
            <a:xfrm>
              <a:off x="5650832" y="88944"/>
              <a:ext cx="132989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Carregamentos</a:t>
              </a:r>
            </a:p>
          </xdr:txBody>
        </xdr:sp>
        <xdr:sp macro="" textlink="">
          <xdr:nvSpPr>
            <xdr:cNvPr id="326" name="Forma Livre: Forma 325">
              <a:extLst>
                <a:ext uri="{FF2B5EF4-FFF2-40B4-BE49-F238E27FC236}">
                  <a16:creationId xmlns:a16="http://schemas.microsoft.com/office/drawing/2014/main" id="{00000000-0008-0000-0100-000046010000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5692742" y="120794"/>
              <a:ext cx="180000" cy="180000"/>
            </a:xfrm>
            <a:custGeom>
              <a:avLst/>
              <a:gdLst>
                <a:gd name="connsiteX0" fmla="*/ 2860562 w 4250871"/>
                <a:gd name="connsiteY0" fmla="*/ 3136711 h 4250873"/>
                <a:gd name="connsiteX1" fmla="*/ 2743390 w 4250871"/>
                <a:gd name="connsiteY1" fmla="*/ 3253883 h 4250873"/>
                <a:gd name="connsiteX2" fmla="*/ 1430254 w 4250871"/>
                <a:gd name="connsiteY2" fmla="*/ 3253883 h 4250873"/>
                <a:gd name="connsiteX3" fmla="*/ 1592348 w 4250871"/>
                <a:gd name="connsiteY3" fmla="*/ 3415977 h 4250873"/>
                <a:gd name="connsiteX4" fmla="*/ 1592348 w 4250871"/>
                <a:gd name="connsiteY4" fmla="*/ 3581683 h 4250873"/>
                <a:gd name="connsiteX5" fmla="*/ 1426642 w 4250871"/>
                <a:gd name="connsiteY5" fmla="*/ 3581683 h 4250873"/>
                <a:gd name="connsiteX6" fmla="*/ 1072656 w 4250871"/>
                <a:gd name="connsiteY6" fmla="*/ 3227696 h 4250873"/>
                <a:gd name="connsiteX7" fmla="*/ 1071717 w 4250871"/>
                <a:gd name="connsiteY7" fmla="*/ 3227127 h 4250873"/>
                <a:gd name="connsiteX8" fmla="*/ 1068045 w 4250871"/>
                <a:gd name="connsiteY8" fmla="*/ 3223086 h 4250873"/>
                <a:gd name="connsiteX9" fmla="*/ 1064523 w 4250871"/>
                <a:gd name="connsiteY9" fmla="*/ 3219563 h 4250873"/>
                <a:gd name="connsiteX10" fmla="*/ 1063649 w 4250871"/>
                <a:gd name="connsiteY10" fmla="*/ 3218248 h 4250873"/>
                <a:gd name="connsiteX11" fmla="*/ 1049089 w 4250871"/>
                <a:gd name="connsiteY11" fmla="*/ 3202223 h 4250873"/>
                <a:gd name="connsiteX12" fmla="*/ 1045750 w 4250871"/>
                <a:gd name="connsiteY12" fmla="*/ 3191293 h 4250873"/>
                <a:gd name="connsiteX13" fmla="*/ 1038784 w 4250871"/>
                <a:gd name="connsiteY13" fmla="*/ 3180802 h 4250873"/>
                <a:gd name="connsiteX14" fmla="*/ 1032182 w 4250871"/>
                <a:gd name="connsiteY14" fmla="*/ 3146874 h 4250873"/>
                <a:gd name="connsiteX15" fmla="*/ 1029077 w 4250871"/>
                <a:gd name="connsiteY15" fmla="*/ 3136711 h 4250873"/>
                <a:gd name="connsiteX16" fmla="*/ 1063396 w 4250871"/>
                <a:gd name="connsiteY16" fmla="*/ 3053858 h 4250873"/>
                <a:gd name="connsiteX17" fmla="*/ 1066851 w 4250871"/>
                <a:gd name="connsiteY17" fmla="*/ 3051529 h 4250873"/>
                <a:gd name="connsiteX18" fmla="*/ 1426642 w 4250871"/>
                <a:gd name="connsiteY18" fmla="*/ 2691737 h 4250873"/>
                <a:gd name="connsiteX19" fmla="*/ 1592348 w 4250871"/>
                <a:gd name="connsiteY19" fmla="*/ 2691737 h 4250873"/>
                <a:gd name="connsiteX20" fmla="*/ 1592348 w 4250871"/>
                <a:gd name="connsiteY20" fmla="*/ 2857443 h 4250873"/>
                <a:gd name="connsiteX21" fmla="*/ 1430252 w 4250871"/>
                <a:gd name="connsiteY21" fmla="*/ 3019539 h 4250873"/>
                <a:gd name="connsiteX22" fmla="*/ 2743390 w 4250871"/>
                <a:gd name="connsiteY22" fmla="*/ 3019539 h 4250873"/>
                <a:gd name="connsiteX23" fmla="*/ 2860562 w 4250871"/>
                <a:gd name="connsiteY23" fmla="*/ 3136711 h 4250873"/>
                <a:gd name="connsiteX24" fmla="*/ 2860562 w 4250871"/>
                <a:gd name="connsiteY24" fmla="*/ 2122041 h 4250873"/>
                <a:gd name="connsiteX25" fmla="*/ 2743390 w 4250871"/>
                <a:gd name="connsiteY25" fmla="*/ 2239213 h 4250873"/>
                <a:gd name="connsiteX26" fmla="*/ 1430254 w 4250871"/>
                <a:gd name="connsiteY26" fmla="*/ 2239213 h 4250873"/>
                <a:gd name="connsiteX27" fmla="*/ 1592348 w 4250871"/>
                <a:gd name="connsiteY27" fmla="*/ 2401307 h 4250873"/>
                <a:gd name="connsiteX28" fmla="*/ 1592348 w 4250871"/>
                <a:gd name="connsiteY28" fmla="*/ 2567013 h 4250873"/>
                <a:gd name="connsiteX29" fmla="*/ 1426642 w 4250871"/>
                <a:gd name="connsiteY29" fmla="*/ 2567013 h 4250873"/>
                <a:gd name="connsiteX30" fmla="*/ 1072656 w 4250871"/>
                <a:gd name="connsiteY30" fmla="*/ 2213026 h 4250873"/>
                <a:gd name="connsiteX31" fmla="*/ 1071717 w 4250871"/>
                <a:gd name="connsiteY31" fmla="*/ 2212457 h 4250873"/>
                <a:gd name="connsiteX32" fmla="*/ 1068045 w 4250871"/>
                <a:gd name="connsiteY32" fmla="*/ 2208416 h 4250873"/>
                <a:gd name="connsiteX33" fmla="*/ 1064523 w 4250871"/>
                <a:gd name="connsiteY33" fmla="*/ 2204893 h 4250873"/>
                <a:gd name="connsiteX34" fmla="*/ 1063649 w 4250871"/>
                <a:gd name="connsiteY34" fmla="*/ 2203578 h 4250873"/>
                <a:gd name="connsiteX35" fmla="*/ 1049089 w 4250871"/>
                <a:gd name="connsiteY35" fmla="*/ 2187553 h 4250873"/>
                <a:gd name="connsiteX36" fmla="*/ 1045750 w 4250871"/>
                <a:gd name="connsiteY36" fmla="*/ 2176623 h 4250873"/>
                <a:gd name="connsiteX37" fmla="*/ 1038784 w 4250871"/>
                <a:gd name="connsiteY37" fmla="*/ 2166132 h 4250873"/>
                <a:gd name="connsiteX38" fmla="*/ 1032182 w 4250871"/>
                <a:gd name="connsiteY38" fmla="*/ 2132204 h 4250873"/>
                <a:gd name="connsiteX39" fmla="*/ 1029077 w 4250871"/>
                <a:gd name="connsiteY39" fmla="*/ 2122041 h 4250873"/>
                <a:gd name="connsiteX40" fmla="*/ 1063396 w 4250871"/>
                <a:gd name="connsiteY40" fmla="*/ 2039188 h 4250873"/>
                <a:gd name="connsiteX41" fmla="*/ 1066851 w 4250871"/>
                <a:gd name="connsiteY41" fmla="*/ 2036859 h 4250873"/>
                <a:gd name="connsiteX42" fmla="*/ 1426642 w 4250871"/>
                <a:gd name="connsiteY42" fmla="*/ 1677067 h 4250873"/>
                <a:gd name="connsiteX43" fmla="*/ 1592348 w 4250871"/>
                <a:gd name="connsiteY43" fmla="*/ 1677067 h 4250873"/>
                <a:gd name="connsiteX44" fmla="*/ 1592348 w 4250871"/>
                <a:gd name="connsiteY44" fmla="*/ 1842773 h 4250873"/>
                <a:gd name="connsiteX45" fmla="*/ 1430252 w 4250871"/>
                <a:gd name="connsiteY45" fmla="*/ 2004869 h 4250873"/>
                <a:gd name="connsiteX46" fmla="*/ 2743390 w 4250871"/>
                <a:gd name="connsiteY46" fmla="*/ 2004869 h 4250873"/>
                <a:gd name="connsiteX47" fmla="*/ 2860562 w 4250871"/>
                <a:gd name="connsiteY47" fmla="*/ 2122041 h 4250873"/>
                <a:gd name="connsiteX48" fmla="*/ 2860562 w 4250871"/>
                <a:gd name="connsiteY48" fmla="*/ 1107371 h 4250873"/>
                <a:gd name="connsiteX49" fmla="*/ 2743390 w 4250871"/>
                <a:gd name="connsiteY49" fmla="*/ 1224543 h 4250873"/>
                <a:gd name="connsiteX50" fmla="*/ 1430254 w 4250871"/>
                <a:gd name="connsiteY50" fmla="*/ 1224543 h 4250873"/>
                <a:gd name="connsiteX51" fmla="*/ 1592348 w 4250871"/>
                <a:gd name="connsiteY51" fmla="*/ 1386637 h 4250873"/>
                <a:gd name="connsiteX52" fmla="*/ 1592348 w 4250871"/>
                <a:gd name="connsiteY52" fmla="*/ 1552343 h 4250873"/>
                <a:gd name="connsiteX53" fmla="*/ 1426642 w 4250871"/>
                <a:gd name="connsiteY53" fmla="*/ 1552343 h 4250873"/>
                <a:gd name="connsiteX54" fmla="*/ 1072656 w 4250871"/>
                <a:gd name="connsiteY54" fmla="*/ 1198356 h 4250873"/>
                <a:gd name="connsiteX55" fmla="*/ 1071717 w 4250871"/>
                <a:gd name="connsiteY55" fmla="*/ 1197787 h 4250873"/>
                <a:gd name="connsiteX56" fmla="*/ 1068045 w 4250871"/>
                <a:gd name="connsiteY56" fmla="*/ 1193746 h 4250873"/>
                <a:gd name="connsiteX57" fmla="*/ 1064523 w 4250871"/>
                <a:gd name="connsiteY57" fmla="*/ 1190223 h 4250873"/>
                <a:gd name="connsiteX58" fmla="*/ 1063649 w 4250871"/>
                <a:gd name="connsiteY58" fmla="*/ 1188908 h 4250873"/>
                <a:gd name="connsiteX59" fmla="*/ 1049089 w 4250871"/>
                <a:gd name="connsiteY59" fmla="*/ 1172883 h 4250873"/>
                <a:gd name="connsiteX60" fmla="*/ 1045750 w 4250871"/>
                <a:gd name="connsiteY60" fmla="*/ 1161953 h 4250873"/>
                <a:gd name="connsiteX61" fmla="*/ 1038784 w 4250871"/>
                <a:gd name="connsiteY61" fmla="*/ 1151462 h 4250873"/>
                <a:gd name="connsiteX62" fmla="*/ 1032182 w 4250871"/>
                <a:gd name="connsiteY62" fmla="*/ 1117534 h 4250873"/>
                <a:gd name="connsiteX63" fmla="*/ 1029077 w 4250871"/>
                <a:gd name="connsiteY63" fmla="*/ 1107371 h 4250873"/>
                <a:gd name="connsiteX64" fmla="*/ 1063396 w 4250871"/>
                <a:gd name="connsiteY64" fmla="*/ 1024518 h 4250873"/>
                <a:gd name="connsiteX65" fmla="*/ 1066851 w 4250871"/>
                <a:gd name="connsiteY65" fmla="*/ 1022189 h 4250873"/>
                <a:gd name="connsiteX66" fmla="*/ 1426642 w 4250871"/>
                <a:gd name="connsiteY66" fmla="*/ 662397 h 4250873"/>
                <a:gd name="connsiteX67" fmla="*/ 1592348 w 4250871"/>
                <a:gd name="connsiteY67" fmla="*/ 662397 h 4250873"/>
                <a:gd name="connsiteX68" fmla="*/ 1592348 w 4250871"/>
                <a:gd name="connsiteY68" fmla="*/ 828103 h 4250873"/>
                <a:gd name="connsiteX69" fmla="*/ 1430252 w 4250871"/>
                <a:gd name="connsiteY69" fmla="*/ 990199 h 4250873"/>
                <a:gd name="connsiteX70" fmla="*/ 2743390 w 4250871"/>
                <a:gd name="connsiteY70" fmla="*/ 990199 h 4250873"/>
                <a:gd name="connsiteX71" fmla="*/ 2860562 w 4250871"/>
                <a:gd name="connsiteY71" fmla="*/ 1107371 h 4250873"/>
                <a:gd name="connsiteX72" fmla="*/ 3334103 w 4250871"/>
                <a:gd name="connsiteY72" fmla="*/ 1052131 h 4250873"/>
                <a:gd name="connsiteX73" fmla="*/ 3334103 w 4250871"/>
                <a:gd name="connsiteY73" fmla="*/ 3191951 h 4250873"/>
                <a:gd name="connsiteX74" fmla="*/ 3216931 w 4250871"/>
                <a:gd name="connsiteY74" fmla="*/ 3309123 h 4250873"/>
                <a:gd name="connsiteX75" fmla="*/ 3099759 w 4250871"/>
                <a:gd name="connsiteY75" fmla="*/ 3191951 h 4250873"/>
                <a:gd name="connsiteX76" fmla="*/ 3099759 w 4250871"/>
                <a:gd name="connsiteY76" fmla="*/ 1052131 h 4250873"/>
                <a:gd name="connsiteX77" fmla="*/ 3216931 w 4250871"/>
                <a:gd name="connsiteY77" fmla="*/ 934959 h 4250873"/>
                <a:gd name="connsiteX78" fmla="*/ 3334103 w 4250871"/>
                <a:gd name="connsiteY78" fmla="*/ 1052131 h 4250873"/>
                <a:gd name="connsiteX79" fmla="*/ 3984408 w 4250871"/>
                <a:gd name="connsiteY79" fmla="*/ 2125436 h 4250873"/>
                <a:gd name="connsiteX80" fmla="*/ 2125437 w 4250871"/>
                <a:gd name="connsiteY80" fmla="*/ 266463 h 4250873"/>
                <a:gd name="connsiteX81" fmla="*/ 266465 w 4250871"/>
                <a:gd name="connsiteY81" fmla="*/ 2125435 h 4250873"/>
                <a:gd name="connsiteX82" fmla="*/ 2125437 w 4250871"/>
                <a:gd name="connsiteY82" fmla="*/ 3984408 h 4250873"/>
                <a:gd name="connsiteX83" fmla="*/ 3984408 w 4250871"/>
                <a:gd name="connsiteY83" fmla="*/ 2125436 h 4250873"/>
                <a:gd name="connsiteX84" fmla="*/ 4250871 w 4250871"/>
                <a:gd name="connsiteY84" fmla="*/ 2125437 h 4250873"/>
                <a:gd name="connsiteX85" fmla="*/ 2125436 w 4250871"/>
                <a:gd name="connsiteY85" fmla="*/ 4250873 h 4250873"/>
                <a:gd name="connsiteX86" fmla="*/ 0 w 4250871"/>
                <a:gd name="connsiteY86" fmla="*/ 2125436 h 4250873"/>
                <a:gd name="connsiteX87" fmla="*/ 2125436 w 4250871"/>
                <a:gd name="connsiteY87" fmla="*/ 0 h 4250873"/>
                <a:gd name="connsiteX88" fmla="*/ 4250871 w 4250871"/>
                <a:gd name="connsiteY88" fmla="*/ 2125437 h 42508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</a:cxnLst>
              <a:rect l="l" t="t" r="r" b="b"/>
              <a:pathLst>
                <a:path w="4250871" h="4250873">
                  <a:moveTo>
                    <a:pt x="2860562" y="3136711"/>
                  </a:moveTo>
                  <a:cubicBezTo>
                    <a:pt x="2860562" y="3201423"/>
                    <a:pt x="2808102" y="3253883"/>
                    <a:pt x="2743390" y="3253883"/>
                  </a:cubicBezTo>
                  <a:lnTo>
                    <a:pt x="1430254" y="3253883"/>
                  </a:lnTo>
                  <a:lnTo>
                    <a:pt x="1592348" y="3415977"/>
                  </a:lnTo>
                  <a:cubicBezTo>
                    <a:pt x="1638107" y="3461735"/>
                    <a:pt x="1638107" y="3535925"/>
                    <a:pt x="1592348" y="3581683"/>
                  </a:cubicBezTo>
                  <a:cubicBezTo>
                    <a:pt x="1546590" y="3627443"/>
                    <a:pt x="1472401" y="3627443"/>
                    <a:pt x="1426642" y="3581683"/>
                  </a:cubicBezTo>
                  <a:lnTo>
                    <a:pt x="1072656" y="3227696"/>
                  </a:lnTo>
                  <a:lnTo>
                    <a:pt x="1071717" y="3227127"/>
                  </a:lnTo>
                  <a:lnTo>
                    <a:pt x="1068045" y="3223086"/>
                  </a:lnTo>
                  <a:lnTo>
                    <a:pt x="1064523" y="3219563"/>
                  </a:lnTo>
                  <a:lnTo>
                    <a:pt x="1063649" y="3218248"/>
                  </a:lnTo>
                  <a:lnTo>
                    <a:pt x="1049089" y="3202223"/>
                  </a:lnTo>
                  <a:lnTo>
                    <a:pt x="1045750" y="3191293"/>
                  </a:lnTo>
                  <a:lnTo>
                    <a:pt x="1038784" y="3180802"/>
                  </a:lnTo>
                  <a:lnTo>
                    <a:pt x="1032182" y="3146874"/>
                  </a:lnTo>
                  <a:lnTo>
                    <a:pt x="1029077" y="3136711"/>
                  </a:lnTo>
                  <a:cubicBezTo>
                    <a:pt x="1029077" y="3104355"/>
                    <a:pt x="1042192" y="3075062"/>
                    <a:pt x="1063396" y="3053858"/>
                  </a:cubicBezTo>
                  <a:lnTo>
                    <a:pt x="1066851" y="3051529"/>
                  </a:lnTo>
                  <a:lnTo>
                    <a:pt x="1426642" y="2691737"/>
                  </a:lnTo>
                  <a:cubicBezTo>
                    <a:pt x="1472401" y="2645978"/>
                    <a:pt x="1546590" y="2645978"/>
                    <a:pt x="1592348" y="2691737"/>
                  </a:cubicBezTo>
                  <a:cubicBezTo>
                    <a:pt x="1638107" y="2737495"/>
                    <a:pt x="1638107" y="2811685"/>
                    <a:pt x="1592348" y="2857443"/>
                  </a:cubicBezTo>
                  <a:lnTo>
                    <a:pt x="1430252" y="3019539"/>
                  </a:lnTo>
                  <a:lnTo>
                    <a:pt x="2743390" y="3019539"/>
                  </a:lnTo>
                  <a:cubicBezTo>
                    <a:pt x="2808102" y="3019539"/>
                    <a:pt x="2860562" y="3071999"/>
                    <a:pt x="2860562" y="3136711"/>
                  </a:cubicBezTo>
                  <a:close/>
                  <a:moveTo>
                    <a:pt x="2860562" y="2122041"/>
                  </a:moveTo>
                  <a:cubicBezTo>
                    <a:pt x="2860562" y="2186753"/>
                    <a:pt x="2808102" y="2239213"/>
                    <a:pt x="2743390" y="2239213"/>
                  </a:cubicBezTo>
                  <a:lnTo>
                    <a:pt x="1430254" y="2239213"/>
                  </a:lnTo>
                  <a:lnTo>
                    <a:pt x="1592348" y="2401307"/>
                  </a:lnTo>
                  <a:cubicBezTo>
                    <a:pt x="1638107" y="2447065"/>
                    <a:pt x="1638107" y="2521255"/>
                    <a:pt x="1592348" y="2567013"/>
                  </a:cubicBezTo>
                  <a:cubicBezTo>
                    <a:pt x="1546590" y="2612772"/>
                    <a:pt x="1472401" y="2612772"/>
                    <a:pt x="1426642" y="2567013"/>
                  </a:cubicBezTo>
                  <a:lnTo>
                    <a:pt x="1072656" y="2213026"/>
                  </a:lnTo>
                  <a:lnTo>
                    <a:pt x="1071717" y="2212457"/>
                  </a:lnTo>
                  <a:lnTo>
                    <a:pt x="1068045" y="2208416"/>
                  </a:lnTo>
                  <a:lnTo>
                    <a:pt x="1064523" y="2204893"/>
                  </a:lnTo>
                  <a:lnTo>
                    <a:pt x="1063649" y="2203578"/>
                  </a:lnTo>
                  <a:lnTo>
                    <a:pt x="1049089" y="2187553"/>
                  </a:lnTo>
                  <a:lnTo>
                    <a:pt x="1045750" y="2176623"/>
                  </a:lnTo>
                  <a:lnTo>
                    <a:pt x="1038784" y="2166132"/>
                  </a:lnTo>
                  <a:lnTo>
                    <a:pt x="1032182" y="2132204"/>
                  </a:lnTo>
                  <a:lnTo>
                    <a:pt x="1029077" y="2122041"/>
                  </a:lnTo>
                  <a:cubicBezTo>
                    <a:pt x="1029077" y="2089685"/>
                    <a:pt x="1042192" y="2060392"/>
                    <a:pt x="1063396" y="2039188"/>
                  </a:cubicBezTo>
                  <a:lnTo>
                    <a:pt x="1066851" y="2036859"/>
                  </a:lnTo>
                  <a:lnTo>
                    <a:pt x="1426642" y="1677067"/>
                  </a:lnTo>
                  <a:cubicBezTo>
                    <a:pt x="1472401" y="1631308"/>
                    <a:pt x="1546590" y="1631308"/>
                    <a:pt x="1592348" y="1677067"/>
                  </a:cubicBezTo>
                  <a:cubicBezTo>
                    <a:pt x="1638107" y="1722825"/>
                    <a:pt x="1638107" y="1797015"/>
                    <a:pt x="1592348" y="1842773"/>
                  </a:cubicBezTo>
                  <a:lnTo>
                    <a:pt x="1430252" y="2004869"/>
                  </a:lnTo>
                  <a:lnTo>
                    <a:pt x="2743390" y="2004869"/>
                  </a:lnTo>
                  <a:cubicBezTo>
                    <a:pt x="2808102" y="2004869"/>
                    <a:pt x="2860562" y="2057329"/>
                    <a:pt x="2860562" y="2122041"/>
                  </a:cubicBezTo>
                  <a:close/>
                  <a:moveTo>
                    <a:pt x="2860562" y="1107371"/>
                  </a:moveTo>
                  <a:cubicBezTo>
                    <a:pt x="2860562" y="1172083"/>
                    <a:pt x="2808102" y="1224543"/>
                    <a:pt x="2743390" y="1224543"/>
                  </a:cubicBezTo>
                  <a:lnTo>
                    <a:pt x="1430254" y="1224543"/>
                  </a:lnTo>
                  <a:lnTo>
                    <a:pt x="1592348" y="1386637"/>
                  </a:lnTo>
                  <a:cubicBezTo>
                    <a:pt x="1638107" y="1432395"/>
                    <a:pt x="1638107" y="1506585"/>
                    <a:pt x="1592348" y="1552343"/>
                  </a:cubicBezTo>
                  <a:cubicBezTo>
                    <a:pt x="1546590" y="1598102"/>
                    <a:pt x="1472401" y="1598102"/>
                    <a:pt x="1426642" y="1552343"/>
                  </a:cubicBezTo>
                  <a:lnTo>
                    <a:pt x="1072656" y="1198356"/>
                  </a:lnTo>
                  <a:lnTo>
                    <a:pt x="1071717" y="1197787"/>
                  </a:lnTo>
                  <a:lnTo>
                    <a:pt x="1068045" y="1193746"/>
                  </a:lnTo>
                  <a:lnTo>
                    <a:pt x="1064523" y="1190223"/>
                  </a:lnTo>
                  <a:lnTo>
                    <a:pt x="1063649" y="1188908"/>
                  </a:lnTo>
                  <a:lnTo>
                    <a:pt x="1049089" y="1172883"/>
                  </a:lnTo>
                  <a:lnTo>
                    <a:pt x="1045750" y="1161953"/>
                  </a:lnTo>
                  <a:lnTo>
                    <a:pt x="1038784" y="1151462"/>
                  </a:lnTo>
                  <a:lnTo>
                    <a:pt x="1032182" y="1117534"/>
                  </a:lnTo>
                  <a:lnTo>
                    <a:pt x="1029077" y="1107371"/>
                  </a:lnTo>
                  <a:cubicBezTo>
                    <a:pt x="1029077" y="1075015"/>
                    <a:pt x="1042192" y="1045722"/>
                    <a:pt x="1063396" y="1024518"/>
                  </a:cubicBezTo>
                  <a:lnTo>
                    <a:pt x="1066851" y="1022189"/>
                  </a:lnTo>
                  <a:lnTo>
                    <a:pt x="1426642" y="662397"/>
                  </a:lnTo>
                  <a:cubicBezTo>
                    <a:pt x="1472401" y="616638"/>
                    <a:pt x="1546590" y="616638"/>
                    <a:pt x="1592348" y="662397"/>
                  </a:cubicBezTo>
                  <a:cubicBezTo>
                    <a:pt x="1638107" y="708155"/>
                    <a:pt x="1638107" y="782345"/>
                    <a:pt x="1592348" y="828103"/>
                  </a:cubicBezTo>
                  <a:lnTo>
                    <a:pt x="1430252" y="990199"/>
                  </a:lnTo>
                  <a:lnTo>
                    <a:pt x="2743390" y="990199"/>
                  </a:lnTo>
                  <a:cubicBezTo>
                    <a:pt x="2808102" y="990199"/>
                    <a:pt x="2860562" y="1042659"/>
                    <a:pt x="2860562" y="1107371"/>
                  </a:cubicBezTo>
                  <a:close/>
                  <a:moveTo>
                    <a:pt x="3334103" y="1052131"/>
                  </a:moveTo>
                  <a:lnTo>
                    <a:pt x="3334103" y="3191951"/>
                  </a:lnTo>
                  <a:cubicBezTo>
                    <a:pt x="3334103" y="3256663"/>
                    <a:pt x="3281643" y="3309123"/>
                    <a:pt x="3216931" y="3309123"/>
                  </a:cubicBezTo>
                  <a:cubicBezTo>
                    <a:pt x="3152219" y="3309123"/>
                    <a:pt x="3099759" y="3256663"/>
                    <a:pt x="3099759" y="3191951"/>
                  </a:cubicBezTo>
                  <a:lnTo>
                    <a:pt x="3099759" y="1052131"/>
                  </a:lnTo>
                  <a:cubicBezTo>
                    <a:pt x="3099759" y="987419"/>
                    <a:pt x="3152219" y="934959"/>
                    <a:pt x="3216931" y="934959"/>
                  </a:cubicBezTo>
                  <a:cubicBezTo>
                    <a:pt x="3281643" y="934959"/>
                    <a:pt x="3334103" y="987419"/>
                    <a:pt x="3334103" y="1052131"/>
                  </a:cubicBezTo>
                  <a:close/>
                  <a:moveTo>
                    <a:pt x="3984408" y="2125436"/>
                  </a:moveTo>
                  <a:cubicBezTo>
                    <a:pt x="3984408" y="1098754"/>
                    <a:pt x="3152119" y="266464"/>
                    <a:pt x="2125437" y="266463"/>
                  </a:cubicBezTo>
                  <a:cubicBezTo>
                    <a:pt x="1098755" y="266463"/>
                    <a:pt x="266465" y="1098753"/>
                    <a:pt x="266465" y="2125435"/>
                  </a:cubicBezTo>
                  <a:cubicBezTo>
                    <a:pt x="266464" y="3152118"/>
                    <a:pt x="1098755" y="3984408"/>
                    <a:pt x="2125437" y="3984408"/>
                  </a:cubicBezTo>
                  <a:cubicBezTo>
                    <a:pt x="3152119" y="3984408"/>
                    <a:pt x="3984408" y="3152118"/>
                    <a:pt x="3984408" y="2125436"/>
                  </a:cubicBezTo>
                  <a:close/>
                  <a:moveTo>
                    <a:pt x="4250871" y="2125437"/>
                  </a:moveTo>
                  <a:cubicBezTo>
                    <a:pt x="4250871" y="3299283"/>
                    <a:pt x="3299282" y="4250873"/>
                    <a:pt x="2125436" y="4250873"/>
                  </a:cubicBezTo>
                  <a:cubicBezTo>
                    <a:pt x="951589" y="4250873"/>
                    <a:pt x="-1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ubicBezTo>
                    <a:pt x="3299282" y="1"/>
                    <a:pt x="4250871" y="951591"/>
                    <a:pt x="4250871" y="2125437"/>
                  </a:cubicBezTo>
                  <a:close/>
                </a:path>
              </a:pathLst>
            </a:cu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27" name="Agrupar 326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00000000-0008-0000-0100-000047010000}"/>
              </a:ext>
            </a:extLst>
          </xdr:cNvPr>
          <xdr:cNvGrpSpPr/>
        </xdr:nvGrpSpPr>
        <xdr:grpSpPr>
          <a:xfrm>
            <a:off x="8233479" y="123825"/>
            <a:ext cx="1268332" cy="243701"/>
            <a:chOff x="7056922" y="88944"/>
            <a:chExt cx="1271770" cy="243701"/>
          </a:xfrm>
        </xdr:grpSpPr>
        <xdr:sp macro="" textlink="">
          <xdr:nvSpPr>
            <xdr:cNvPr id="328" name="Retângulo: Cantos Arredondados 327">
              <a:hlinkClick xmlns:r="http://schemas.openxmlformats.org/officeDocument/2006/relationships" r:id="rId43"/>
              <a:extLst>
                <a:ext uri="{FF2B5EF4-FFF2-40B4-BE49-F238E27FC236}">
                  <a16:creationId xmlns:a16="http://schemas.microsoft.com/office/drawing/2014/main" id="{00000000-0008-0000-0100-000048010000}"/>
                </a:ext>
              </a:extLst>
            </xdr:cNvPr>
            <xdr:cNvSpPr/>
          </xdr:nvSpPr>
          <xdr:spPr>
            <a:xfrm>
              <a:off x="7056922" y="88944"/>
              <a:ext cx="127177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Combinações</a:t>
              </a:r>
            </a:p>
          </xdr:txBody>
        </xdr:sp>
        <xdr:sp macro="" textlink="">
          <xdr:nvSpPr>
            <xdr:cNvPr id="329" name="Forma Livre: Forma 328">
              <a:extLst>
                <a:ext uri="{FF2B5EF4-FFF2-40B4-BE49-F238E27FC236}">
                  <a16:creationId xmlns:a16="http://schemas.microsoft.com/office/drawing/2014/main" id="{00000000-0008-0000-0100-000049010000}"/>
                </a:ext>
              </a:extLst>
            </xdr:cNvPr>
            <xdr:cNvSpPr>
              <a:spLocks noChangeAspect="1"/>
            </xdr:cNvSpPr>
          </xdr:nvSpPr>
          <xdr:spPr>
            <a:xfrm>
              <a:off x="7119137" y="117836"/>
              <a:ext cx="185995" cy="180000"/>
            </a:xfrm>
            <a:custGeom>
              <a:avLst/>
              <a:gdLst>
                <a:gd name="connsiteX0" fmla="*/ 2278531 w 3569686"/>
                <a:gd name="connsiteY0" fmla="*/ 2328860 h 3454629"/>
                <a:gd name="connsiteX1" fmla="*/ 2194294 w 3569686"/>
                <a:gd name="connsiteY1" fmla="*/ 2363873 h 3454629"/>
                <a:gd name="connsiteX2" fmla="*/ 1775189 w 3569686"/>
                <a:gd name="connsiteY2" fmla="*/ 2437837 h 3454629"/>
                <a:gd name="connsiteX3" fmla="*/ 1300731 w 3569686"/>
                <a:gd name="connsiteY3" fmla="*/ 2342048 h 3454629"/>
                <a:gd name="connsiteX4" fmla="*/ 1289766 w 3569686"/>
                <a:gd name="connsiteY4" fmla="*/ 2336766 h 3454629"/>
                <a:gd name="connsiteX5" fmla="*/ 1290167 w 3569686"/>
                <a:gd name="connsiteY5" fmla="*/ 2344713 h 3454629"/>
                <a:gd name="connsiteX6" fmla="*/ 1633943 w 3569686"/>
                <a:gd name="connsiteY6" fmla="*/ 3024860 h 3454629"/>
                <a:gd name="connsiteX7" fmla="*/ 1767728 w 3569686"/>
                <a:gd name="connsiteY7" fmla="*/ 3126135 h 3454629"/>
                <a:gd name="connsiteX8" fmla="*/ 1814987 w 3569686"/>
                <a:gd name="connsiteY8" fmla="*/ 3097424 h 3454629"/>
                <a:gd name="connsiteX9" fmla="*/ 2263363 w 3569686"/>
                <a:gd name="connsiteY9" fmla="*/ 2428251 h 3454629"/>
                <a:gd name="connsiteX10" fmla="*/ 2982129 w 3569686"/>
                <a:gd name="connsiteY10" fmla="*/ 1380800 h 3454629"/>
                <a:gd name="connsiteX11" fmla="*/ 2969344 w 3569686"/>
                <a:gd name="connsiteY11" fmla="*/ 1464573 h 3454629"/>
                <a:gd name="connsiteX12" fmla="*/ 2550535 w 3569686"/>
                <a:gd name="connsiteY12" fmla="*/ 2159495 h 3454629"/>
                <a:gd name="connsiteX13" fmla="*/ 2436571 w 3569686"/>
                <a:gd name="connsiteY13" fmla="*/ 2238469 h 3454629"/>
                <a:gd name="connsiteX14" fmla="*/ 2431544 w 3569686"/>
                <a:gd name="connsiteY14" fmla="*/ 2338022 h 3454629"/>
                <a:gd name="connsiteX15" fmla="*/ 1994264 w 3569686"/>
                <a:gd name="connsiteY15" fmla="*/ 3153971 h 3454629"/>
                <a:gd name="connsiteX16" fmla="*/ 1919588 w 3569686"/>
                <a:gd name="connsiteY16" fmla="*/ 3209813 h 3454629"/>
                <a:gd name="connsiteX17" fmla="*/ 1959854 w 3569686"/>
                <a:gd name="connsiteY17" fmla="*/ 3227866 h 3454629"/>
                <a:gd name="connsiteX18" fmla="*/ 2350767 w 3569686"/>
                <a:gd name="connsiteY18" fmla="*/ 3301814 h 3454629"/>
                <a:gd name="connsiteX19" fmla="*/ 3416871 w 3569686"/>
                <a:gd name="connsiteY19" fmla="*/ 2235710 h 3454629"/>
                <a:gd name="connsiteX20" fmla="*/ 3104616 w 3569686"/>
                <a:gd name="connsiteY20" fmla="*/ 1481861 h 3454629"/>
                <a:gd name="connsiteX21" fmla="*/ 565923 w 3569686"/>
                <a:gd name="connsiteY21" fmla="*/ 1371932 h 3454629"/>
                <a:gd name="connsiteX22" fmla="*/ 540777 w 3569686"/>
                <a:gd name="connsiteY22" fmla="*/ 1390737 h 3454629"/>
                <a:gd name="connsiteX23" fmla="*/ 152814 w 3569686"/>
                <a:gd name="connsiteY23" fmla="*/ 2213394 h 3454629"/>
                <a:gd name="connsiteX24" fmla="*/ 1218918 w 3569686"/>
                <a:gd name="connsiteY24" fmla="*/ 3279498 h 3454629"/>
                <a:gd name="connsiteX25" fmla="*/ 1535945 w 3569686"/>
                <a:gd name="connsiteY25" fmla="*/ 3231568 h 3454629"/>
                <a:gd name="connsiteX26" fmla="*/ 1610884 w 3569686"/>
                <a:gd name="connsiteY26" fmla="*/ 3204140 h 3454629"/>
                <a:gd name="connsiteX27" fmla="*/ 1531194 w 3569686"/>
                <a:gd name="connsiteY27" fmla="*/ 3137976 h 3454629"/>
                <a:gd name="connsiteX28" fmla="*/ 1138142 w 3569686"/>
                <a:gd name="connsiteY28" fmla="*/ 2360338 h 3454629"/>
                <a:gd name="connsiteX29" fmla="*/ 1132742 w 3569686"/>
                <a:gd name="connsiteY29" fmla="*/ 2253396 h 3454629"/>
                <a:gd name="connsiteX30" fmla="*/ 1093680 w 3569686"/>
                <a:gd name="connsiteY30" fmla="*/ 2229665 h 3454629"/>
                <a:gd name="connsiteX31" fmla="*/ 566064 w 3569686"/>
                <a:gd name="connsiteY31" fmla="*/ 1374164 h 3454629"/>
                <a:gd name="connsiteX32" fmla="*/ 1802664 w 3569686"/>
                <a:gd name="connsiteY32" fmla="*/ 1321878 h 3454629"/>
                <a:gd name="connsiteX33" fmla="*/ 1787007 w 3569686"/>
                <a:gd name="connsiteY33" fmla="*/ 1330692 h 3454629"/>
                <a:gd name="connsiteX34" fmla="*/ 1290167 w 3569686"/>
                <a:gd name="connsiteY34" fmla="*/ 2126707 h 3454629"/>
                <a:gd name="connsiteX35" fmla="*/ 1288156 w 3569686"/>
                <a:gd name="connsiteY35" fmla="*/ 2166531 h 3454629"/>
                <a:gd name="connsiteX36" fmla="*/ 1360213 w 3569686"/>
                <a:gd name="connsiteY36" fmla="*/ 2201242 h 3454629"/>
                <a:gd name="connsiteX37" fmla="*/ 1775189 w 3569686"/>
                <a:gd name="connsiteY37" fmla="*/ 2285022 h 3454629"/>
                <a:gd name="connsiteX38" fmla="*/ 2254778 w 3569686"/>
                <a:gd name="connsiteY38" fmla="*/ 2171317 h 3454629"/>
                <a:gd name="connsiteX39" fmla="*/ 2282120 w 3569686"/>
                <a:gd name="connsiteY39" fmla="*/ 2155926 h 3454629"/>
                <a:gd name="connsiteX40" fmla="*/ 2279518 w 3569686"/>
                <a:gd name="connsiteY40" fmla="*/ 2104391 h 3454629"/>
                <a:gd name="connsiteX41" fmla="*/ 1814987 w 3569686"/>
                <a:gd name="connsiteY41" fmla="*/ 1329364 h 3454629"/>
                <a:gd name="connsiteX42" fmla="*/ 2350767 w 3569686"/>
                <a:gd name="connsiteY42" fmla="*/ 1169606 h 3454629"/>
                <a:gd name="connsiteX43" fmla="*/ 1959854 w 3569686"/>
                <a:gd name="connsiteY43" fmla="*/ 1243555 h 3454629"/>
                <a:gd name="connsiteX44" fmla="*/ 1956901 w 3569686"/>
                <a:gd name="connsiteY44" fmla="*/ 1244879 h 3454629"/>
                <a:gd name="connsiteX45" fmla="*/ 1994264 w 3569686"/>
                <a:gd name="connsiteY45" fmla="*/ 1272818 h 3454629"/>
                <a:gd name="connsiteX46" fmla="*/ 2413073 w 3569686"/>
                <a:gd name="connsiteY46" fmla="*/ 1967740 h 3454629"/>
                <a:gd name="connsiteX47" fmla="*/ 2426766 w 3569686"/>
                <a:gd name="connsiteY47" fmla="*/ 2057460 h 3454629"/>
                <a:gd name="connsiteX48" fmla="*/ 2492013 w 3569686"/>
                <a:gd name="connsiteY48" fmla="*/ 2008067 h 3454629"/>
                <a:gd name="connsiteX49" fmla="*/ 2835789 w 3569686"/>
                <a:gd name="connsiteY49" fmla="*/ 1327921 h 3454629"/>
                <a:gd name="connsiteX50" fmla="*/ 2837800 w 3569686"/>
                <a:gd name="connsiteY50" fmla="*/ 1288098 h 3454629"/>
                <a:gd name="connsiteX51" fmla="*/ 2765743 w 3569686"/>
                <a:gd name="connsiteY51" fmla="*/ 1253386 h 3454629"/>
                <a:gd name="connsiteX52" fmla="*/ 2350767 w 3569686"/>
                <a:gd name="connsiteY52" fmla="*/ 1169606 h 3454629"/>
                <a:gd name="connsiteX53" fmla="*/ 1218918 w 3569686"/>
                <a:gd name="connsiteY53" fmla="*/ 1147290 h 3454629"/>
                <a:gd name="connsiteX54" fmla="*/ 803942 w 3569686"/>
                <a:gd name="connsiteY54" fmla="*/ 1231070 h 3454629"/>
                <a:gd name="connsiteX55" fmla="*/ 711937 w 3569686"/>
                <a:gd name="connsiteY55" fmla="*/ 1275391 h 3454629"/>
                <a:gd name="connsiteX56" fmla="*/ 714589 w 3569686"/>
                <a:gd name="connsiteY56" fmla="*/ 1327921 h 3454629"/>
                <a:gd name="connsiteX57" fmla="*/ 1021340 w 3569686"/>
                <a:gd name="connsiteY57" fmla="*/ 1972767 h 3454629"/>
                <a:gd name="connsiteX58" fmla="*/ 1143828 w 3569686"/>
                <a:gd name="connsiteY58" fmla="*/ 2073829 h 3454629"/>
                <a:gd name="connsiteX59" fmla="*/ 1156613 w 3569686"/>
                <a:gd name="connsiteY59" fmla="*/ 1990056 h 3454629"/>
                <a:gd name="connsiteX60" fmla="*/ 1575422 w 3569686"/>
                <a:gd name="connsiteY60" fmla="*/ 1295134 h 3454629"/>
                <a:gd name="connsiteX61" fmla="*/ 1653937 w 3569686"/>
                <a:gd name="connsiteY61" fmla="*/ 1240725 h 3454629"/>
                <a:gd name="connsiteX62" fmla="*/ 1633894 w 3569686"/>
                <a:gd name="connsiteY62" fmla="*/ 1231070 h 3454629"/>
                <a:gd name="connsiteX63" fmla="*/ 1218918 w 3569686"/>
                <a:gd name="connsiteY63" fmla="*/ 1147290 h 3454629"/>
                <a:gd name="connsiteX64" fmla="*/ 1775189 w 3569686"/>
                <a:gd name="connsiteY64" fmla="*/ 152814 h 3454629"/>
                <a:gd name="connsiteX65" fmla="*/ 730744 w 3569686"/>
                <a:gd name="connsiteY65" fmla="*/ 1004061 h 3454629"/>
                <a:gd name="connsiteX66" fmla="*/ 715456 w 3569686"/>
                <a:gd name="connsiteY66" fmla="*/ 1104237 h 3454629"/>
                <a:gd name="connsiteX67" fmla="*/ 744460 w 3569686"/>
                <a:gd name="connsiteY67" fmla="*/ 1090265 h 3454629"/>
                <a:gd name="connsiteX68" fmla="*/ 1218919 w 3569686"/>
                <a:gd name="connsiteY68" fmla="*/ 994476 h 3454629"/>
                <a:gd name="connsiteX69" fmla="*/ 1799928 w 3569686"/>
                <a:gd name="connsiteY69" fmla="*/ 1141593 h 3454629"/>
                <a:gd name="connsiteX70" fmla="*/ 1806707 w 3569686"/>
                <a:gd name="connsiteY70" fmla="*/ 1145712 h 3454629"/>
                <a:gd name="connsiteX71" fmla="*/ 1835682 w 3569686"/>
                <a:gd name="connsiteY71" fmla="*/ 1130650 h 3454629"/>
                <a:gd name="connsiteX72" fmla="*/ 2350767 w 3569686"/>
                <a:gd name="connsiteY72" fmla="*/ 1016792 h 3454629"/>
                <a:gd name="connsiteX73" fmla="*/ 2825226 w 3569686"/>
                <a:gd name="connsiteY73" fmla="*/ 1112581 h 3454629"/>
                <a:gd name="connsiteX74" fmla="*/ 2836190 w 3569686"/>
                <a:gd name="connsiteY74" fmla="*/ 1117863 h 3454629"/>
                <a:gd name="connsiteX75" fmla="*/ 2835789 w 3569686"/>
                <a:gd name="connsiteY75" fmla="*/ 1109915 h 3454629"/>
                <a:gd name="connsiteX76" fmla="*/ 1775189 w 3569686"/>
                <a:gd name="connsiteY76" fmla="*/ 152814 h 3454629"/>
                <a:gd name="connsiteX77" fmla="*/ 1775189 w 3569686"/>
                <a:gd name="connsiteY77" fmla="*/ 0 h 3454629"/>
                <a:gd name="connsiteX78" fmla="*/ 2987815 w 3569686"/>
                <a:gd name="connsiteY78" fmla="*/ 1094291 h 3454629"/>
                <a:gd name="connsiteX79" fmla="*/ 2993215 w 3569686"/>
                <a:gd name="connsiteY79" fmla="*/ 1201234 h 3454629"/>
                <a:gd name="connsiteX80" fmla="*/ 3032277 w 3569686"/>
                <a:gd name="connsiteY80" fmla="*/ 1224964 h 3454629"/>
                <a:gd name="connsiteX81" fmla="*/ 3569686 w 3569686"/>
                <a:gd name="connsiteY81" fmla="*/ 2235711 h 3454629"/>
                <a:gd name="connsiteX82" fmla="*/ 2350767 w 3569686"/>
                <a:gd name="connsiteY82" fmla="*/ 3454629 h 3454629"/>
                <a:gd name="connsiteX83" fmla="*/ 1802434 w 3569686"/>
                <a:gd name="connsiteY83" fmla="*/ 3324626 h 3454629"/>
                <a:gd name="connsiteX84" fmla="*/ 1763533 w 3569686"/>
                <a:gd name="connsiteY84" fmla="*/ 3302729 h 3454629"/>
                <a:gd name="connsiteX85" fmla="*/ 1693377 w 3569686"/>
                <a:gd name="connsiteY85" fmla="*/ 3336525 h 3454629"/>
                <a:gd name="connsiteX86" fmla="*/ 1218919 w 3569686"/>
                <a:gd name="connsiteY86" fmla="*/ 3432313 h 3454629"/>
                <a:gd name="connsiteX87" fmla="*/ 0 w 3569686"/>
                <a:gd name="connsiteY87" fmla="*/ 2213395 h 3454629"/>
                <a:gd name="connsiteX88" fmla="*/ 537410 w 3569686"/>
                <a:gd name="connsiteY88" fmla="*/ 1202648 h 3454629"/>
                <a:gd name="connsiteX89" fmla="*/ 557716 w 3569686"/>
                <a:gd name="connsiteY89" fmla="*/ 1190312 h 3454629"/>
                <a:gd name="connsiteX90" fmla="*/ 562564 w 3569686"/>
                <a:gd name="connsiteY90" fmla="*/ 1094291 h 3454629"/>
                <a:gd name="connsiteX91" fmla="*/ 1775189 w 3569686"/>
                <a:gd name="connsiteY91" fmla="*/ 0 h 345462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</a:cxnLst>
              <a:rect l="l" t="t" r="r" b="b"/>
              <a:pathLst>
                <a:path w="3569686" h="3454629">
                  <a:moveTo>
                    <a:pt x="2278531" y="2328860"/>
                  </a:moveTo>
                  <a:lnTo>
                    <a:pt x="2194294" y="2363873"/>
                  </a:lnTo>
                  <a:cubicBezTo>
                    <a:pt x="2063611" y="2411723"/>
                    <a:pt x="1922450" y="2437837"/>
                    <a:pt x="1775189" y="2437837"/>
                  </a:cubicBezTo>
                  <a:cubicBezTo>
                    <a:pt x="1606892" y="2437837"/>
                    <a:pt x="1446560" y="2403729"/>
                    <a:pt x="1300731" y="2342048"/>
                  </a:cubicBezTo>
                  <a:lnTo>
                    <a:pt x="1289766" y="2336766"/>
                  </a:lnTo>
                  <a:lnTo>
                    <a:pt x="1290167" y="2344713"/>
                  </a:lnTo>
                  <a:cubicBezTo>
                    <a:pt x="1317465" y="2613508"/>
                    <a:pt x="1444616" y="2852783"/>
                    <a:pt x="1633943" y="3024860"/>
                  </a:cubicBezTo>
                  <a:lnTo>
                    <a:pt x="1767728" y="3126135"/>
                  </a:lnTo>
                  <a:lnTo>
                    <a:pt x="1814987" y="3097424"/>
                  </a:lnTo>
                  <a:cubicBezTo>
                    <a:pt x="2041855" y="2944155"/>
                    <a:pt x="2206557" y="2705855"/>
                    <a:pt x="2263363" y="2428251"/>
                  </a:cubicBezTo>
                  <a:close/>
                  <a:moveTo>
                    <a:pt x="2982129" y="1380800"/>
                  </a:moveTo>
                  <a:lnTo>
                    <a:pt x="2969344" y="1464573"/>
                  </a:lnTo>
                  <a:cubicBezTo>
                    <a:pt x="2912514" y="1742294"/>
                    <a:pt x="2761236" y="1985609"/>
                    <a:pt x="2550535" y="2159495"/>
                  </a:cubicBezTo>
                  <a:lnTo>
                    <a:pt x="2436571" y="2238469"/>
                  </a:lnTo>
                  <a:lnTo>
                    <a:pt x="2431544" y="2338022"/>
                  </a:lnTo>
                  <a:cubicBezTo>
                    <a:pt x="2398253" y="2665834"/>
                    <a:pt x="2235065" y="2955245"/>
                    <a:pt x="1994264" y="3153971"/>
                  </a:cubicBezTo>
                  <a:lnTo>
                    <a:pt x="1919588" y="3209813"/>
                  </a:lnTo>
                  <a:lnTo>
                    <a:pt x="1959854" y="3227866"/>
                  </a:lnTo>
                  <a:cubicBezTo>
                    <a:pt x="2080894" y="3275595"/>
                    <a:pt x="2212769" y="3301814"/>
                    <a:pt x="2350767" y="3301814"/>
                  </a:cubicBezTo>
                  <a:cubicBezTo>
                    <a:pt x="2939560" y="3301814"/>
                    <a:pt x="3416871" y="2824503"/>
                    <a:pt x="3416871" y="2235710"/>
                  </a:cubicBezTo>
                  <a:cubicBezTo>
                    <a:pt x="3416871" y="1941314"/>
                    <a:pt x="3297543" y="1674788"/>
                    <a:pt x="3104616" y="1481861"/>
                  </a:cubicBezTo>
                  <a:close/>
                  <a:moveTo>
                    <a:pt x="565923" y="1371932"/>
                  </a:moveTo>
                  <a:lnTo>
                    <a:pt x="540777" y="1390737"/>
                  </a:lnTo>
                  <a:cubicBezTo>
                    <a:pt x="303838" y="1586276"/>
                    <a:pt x="152814" y="1882198"/>
                    <a:pt x="152814" y="2213394"/>
                  </a:cubicBezTo>
                  <a:cubicBezTo>
                    <a:pt x="152814" y="2802187"/>
                    <a:pt x="630125" y="3279498"/>
                    <a:pt x="1218918" y="3279498"/>
                  </a:cubicBezTo>
                  <a:cubicBezTo>
                    <a:pt x="1329317" y="3279498"/>
                    <a:pt x="1435796" y="3262718"/>
                    <a:pt x="1535945" y="3231568"/>
                  </a:cubicBezTo>
                  <a:lnTo>
                    <a:pt x="1610884" y="3204140"/>
                  </a:lnTo>
                  <a:lnTo>
                    <a:pt x="1531194" y="3137976"/>
                  </a:lnTo>
                  <a:cubicBezTo>
                    <a:pt x="1314730" y="2941234"/>
                    <a:pt x="1169353" y="2667662"/>
                    <a:pt x="1138142" y="2360338"/>
                  </a:cubicBezTo>
                  <a:lnTo>
                    <a:pt x="1132742" y="2253396"/>
                  </a:lnTo>
                  <a:lnTo>
                    <a:pt x="1093680" y="2229665"/>
                  </a:lnTo>
                  <a:cubicBezTo>
                    <a:pt x="809975" y="2037998"/>
                    <a:pt x="611300" y="1730027"/>
                    <a:pt x="566064" y="1374164"/>
                  </a:cubicBezTo>
                  <a:close/>
                  <a:moveTo>
                    <a:pt x="1802664" y="1321878"/>
                  </a:moveTo>
                  <a:lnTo>
                    <a:pt x="1787007" y="1330692"/>
                  </a:lnTo>
                  <a:cubicBezTo>
                    <a:pt x="1514433" y="1500845"/>
                    <a:pt x="1324289" y="1790714"/>
                    <a:pt x="1290167" y="2126707"/>
                  </a:cubicBezTo>
                  <a:lnTo>
                    <a:pt x="1288156" y="2166531"/>
                  </a:lnTo>
                  <a:lnTo>
                    <a:pt x="1360213" y="2201242"/>
                  </a:lnTo>
                  <a:cubicBezTo>
                    <a:pt x="1487760" y="2255190"/>
                    <a:pt x="1627991" y="2285022"/>
                    <a:pt x="1775189" y="2285022"/>
                  </a:cubicBezTo>
                  <a:cubicBezTo>
                    <a:pt x="1947687" y="2285022"/>
                    <a:pt x="2110616" y="2244054"/>
                    <a:pt x="2254778" y="2171317"/>
                  </a:cubicBezTo>
                  <a:lnTo>
                    <a:pt x="2282120" y="2155926"/>
                  </a:lnTo>
                  <a:lnTo>
                    <a:pt x="2279518" y="2104391"/>
                  </a:lnTo>
                  <a:cubicBezTo>
                    <a:pt x="2246761" y="1781838"/>
                    <a:pt x="2070214" y="1501792"/>
                    <a:pt x="1814987" y="1329364"/>
                  </a:cubicBezTo>
                  <a:close/>
                  <a:moveTo>
                    <a:pt x="2350767" y="1169606"/>
                  </a:moveTo>
                  <a:cubicBezTo>
                    <a:pt x="2212769" y="1169606"/>
                    <a:pt x="2080894" y="1195826"/>
                    <a:pt x="1959854" y="1243555"/>
                  </a:cubicBezTo>
                  <a:lnTo>
                    <a:pt x="1956901" y="1244879"/>
                  </a:lnTo>
                  <a:lnTo>
                    <a:pt x="1994264" y="1272818"/>
                  </a:lnTo>
                  <a:cubicBezTo>
                    <a:pt x="2204965" y="1446704"/>
                    <a:pt x="2356243" y="1690020"/>
                    <a:pt x="2413073" y="1967740"/>
                  </a:cubicBezTo>
                  <a:lnTo>
                    <a:pt x="2426766" y="2057460"/>
                  </a:lnTo>
                  <a:lnTo>
                    <a:pt x="2492013" y="2008067"/>
                  </a:lnTo>
                  <a:cubicBezTo>
                    <a:pt x="2681340" y="1835991"/>
                    <a:pt x="2808492" y="1596716"/>
                    <a:pt x="2835789" y="1327921"/>
                  </a:cubicBezTo>
                  <a:lnTo>
                    <a:pt x="2837800" y="1288098"/>
                  </a:lnTo>
                  <a:lnTo>
                    <a:pt x="2765743" y="1253386"/>
                  </a:lnTo>
                  <a:cubicBezTo>
                    <a:pt x="2638196" y="1199438"/>
                    <a:pt x="2497965" y="1169606"/>
                    <a:pt x="2350767" y="1169606"/>
                  </a:cubicBezTo>
                  <a:close/>
                  <a:moveTo>
                    <a:pt x="1218918" y="1147290"/>
                  </a:moveTo>
                  <a:cubicBezTo>
                    <a:pt x="1071720" y="1147290"/>
                    <a:pt x="931489" y="1177122"/>
                    <a:pt x="803942" y="1231070"/>
                  </a:cubicBezTo>
                  <a:lnTo>
                    <a:pt x="711937" y="1275391"/>
                  </a:lnTo>
                  <a:lnTo>
                    <a:pt x="714589" y="1327921"/>
                  </a:lnTo>
                  <a:cubicBezTo>
                    <a:pt x="740067" y="1578796"/>
                    <a:pt x="852529" y="1803956"/>
                    <a:pt x="1021340" y="1972767"/>
                  </a:cubicBezTo>
                  <a:lnTo>
                    <a:pt x="1143828" y="2073829"/>
                  </a:lnTo>
                  <a:lnTo>
                    <a:pt x="1156613" y="1990056"/>
                  </a:lnTo>
                  <a:cubicBezTo>
                    <a:pt x="1213443" y="1712336"/>
                    <a:pt x="1364721" y="1469020"/>
                    <a:pt x="1575422" y="1295134"/>
                  </a:cubicBezTo>
                  <a:lnTo>
                    <a:pt x="1653937" y="1240725"/>
                  </a:lnTo>
                  <a:lnTo>
                    <a:pt x="1633894" y="1231070"/>
                  </a:lnTo>
                  <a:cubicBezTo>
                    <a:pt x="1506347" y="1177122"/>
                    <a:pt x="1366116" y="1147290"/>
                    <a:pt x="1218918" y="1147290"/>
                  </a:cubicBezTo>
                  <a:close/>
                  <a:moveTo>
                    <a:pt x="1775189" y="152814"/>
                  </a:moveTo>
                  <a:cubicBezTo>
                    <a:pt x="1259995" y="152814"/>
                    <a:pt x="830155" y="518255"/>
                    <a:pt x="730744" y="1004061"/>
                  </a:cubicBezTo>
                  <a:lnTo>
                    <a:pt x="715456" y="1104237"/>
                  </a:lnTo>
                  <a:lnTo>
                    <a:pt x="744460" y="1090265"/>
                  </a:lnTo>
                  <a:cubicBezTo>
                    <a:pt x="890290" y="1028584"/>
                    <a:pt x="1050621" y="994476"/>
                    <a:pt x="1218919" y="994476"/>
                  </a:cubicBezTo>
                  <a:cubicBezTo>
                    <a:pt x="1429291" y="994476"/>
                    <a:pt x="1627215" y="1047770"/>
                    <a:pt x="1799928" y="1141593"/>
                  </a:cubicBezTo>
                  <a:lnTo>
                    <a:pt x="1806707" y="1145712"/>
                  </a:lnTo>
                  <a:lnTo>
                    <a:pt x="1835682" y="1130650"/>
                  </a:lnTo>
                  <a:cubicBezTo>
                    <a:pt x="1992146" y="1057595"/>
                    <a:pt x="2166692" y="1016792"/>
                    <a:pt x="2350767" y="1016792"/>
                  </a:cubicBezTo>
                  <a:cubicBezTo>
                    <a:pt x="2519065" y="1016792"/>
                    <a:pt x="2679396" y="1050900"/>
                    <a:pt x="2825226" y="1112581"/>
                  </a:cubicBezTo>
                  <a:lnTo>
                    <a:pt x="2836190" y="1117863"/>
                  </a:lnTo>
                  <a:lnTo>
                    <a:pt x="2835789" y="1109915"/>
                  </a:lnTo>
                  <a:cubicBezTo>
                    <a:pt x="2781194" y="572326"/>
                    <a:pt x="2327182" y="152814"/>
                    <a:pt x="1775189" y="152814"/>
                  </a:cubicBezTo>
                  <a:close/>
                  <a:moveTo>
                    <a:pt x="1775189" y="0"/>
                  </a:moveTo>
                  <a:cubicBezTo>
                    <a:pt x="2406306" y="0"/>
                    <a:pt x="2925394" y="479644"/>
                    <a:pt x="2987815" y="1094291"/>
                  </a:cubicBezTo>
                  <a:lnTo>
                    <a:pt x="2993215" y="1201234"/>
                  </a:lnTo>
                  <a:lnTo>
                    <a:pt x="3032277" y="1224964"/>
                  </a:lnTo>
                  <a:cubicBezTo>
                    <a:pt x="3356511" y="1444013"/>
                    <a:pt x="3569686" y="1814967"/>
                    <a:pt x="3569686" y="2235711"/>
                  </a:cubicBezTo>
                  <a:cubicBezTo>
                    <a:pt x="3569686" y="2908901"/>
                    <a:pt x="3023958" y="3454629"/>
                    <a:pt x="2350767" y="3454629"/>
                  </a:cubicBezTo>
                  <a:cubicBezTo>
                    <a:pt x="2153543" y="3454629"/>
                    <a:pt x="1967260" y="3407789"/>
                    <a:pt x="1802434" y="3324626"/>
                  </a:cubicBezTo>
                  <a:lnTo>
                    <a:pt x="1763533" y="3302729"/>
                  </a:lnTo>
                  <a:lnTo>
                    <a:pt x="1693377" y="3336525"/>
                  </a:lnTo>
                  <a:cubicBezTo>
                    <a:pt x="1547548" y="3398205"/>
                    <a:pt x="1387217" y="3432313"/>
                    <a:pt x="1218919" y="3432313"/>
                  </a:cubicBezTo>
                  <a:cubicBezTo>
                    <a:pt x="545728" y="3432313"/>
                    <a:pt x="0" y="2886585"/>
                    <a:pt x="0" y="2213395"/>
                  </a:cubicBezTo>
                  <a:cubicBezTo>
                    <a:pt x="0" y="1792651"/>
                    <a:pt x="213175" y="1421697"/>
                    <a:pt x="537410" y="1202648"/>
                  </a:cubicBezTo>
                  <a:lnTo>
                    <a:pt x="557716" y="1190312"/>
                  </a:lnTo>
                  <a:lnTo>
                    <a:pt x="562564" y="1094291"/>
                  </a:lnTo>
                  <a:cubicBezTo>
                    <a:pt x="624985" y="479644"/>
                    <a:pt x="1144073" y="0"/>
                    <a:pt x="1775189" y="0"/>
                  </a:cubicBezTo>
                  <a:close/>
                </a:path>
              </a:pathLst>
            </a:custGeom>
            <a:solidFill>
              <a:schemeClr val="bg1"/>
            </a:solidFill>
            <a:ln w="190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30" name="Agrupar 32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100-00004A010000}"/>
              </a:ext>
            </a:extLst>
          </xdr:cNvPr>
          <xdr:cNvGrpSpPr/>
        </xdr:nvGrpSpPr>
        <xdr:grpSpPr>
          <a:xfrm>
            <a:off x="9747845" y="123825"/>
            <a:ext cx="1201786" cy="243701"/>
            <a:chOff x="8375383" y="88944"/>
            <a:chExt cx="1206101" cy="243701"/>
          </a:xfrm>
        </xdr:grpSpPr>
        <xdr:sp macro="" textlink="">
          <xdr:nvSpPr>
            <xdr:cNvPr id="331" name="Retângulo: Cantos Arredondados 330">
              <a:hlinkClick xmlns:r="http://schemas.openxmlformats.org/officeDocument/2006/relationships" r:id="rId44"/>
              <a:extLst>
                <a:ext uri="{FF2B5EF4-FFF2-40B4-BE49-F238E27FC236}">
                  <a16:creationId xmlns:a16="http://schemas.microsoft.com/office/drawing/2014/main" id="{00000000-0008-0000-0100-00004B010000}"/>
                </a:ext>
              </a:extLst>
            </xdr:cNvPr>
            <xdr:cNvSpPr/>
          </xdr:nvSpPr>
          <xdr:spPr>
            <a:xfrm>
              <a:off x="8375383" y="88944"/>
              <a:ext cx="120610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Verificações</a:t>
              </a:r>
            </a:p>
          </xdr:txBody>
        </xdr:sp>
        <xdr:sp macro="" textlink="">
          <xdr:nvSpPr>
            <xdr:cNvPr id="332" name="Forma Livre: Forma 331">
              <a:extLst>
                <a:ext uri="{FF2B5EF4-FFF2-40B4-BE49-F238E27FC236}">
                  <a16:creationId xmlns:a16="http://schemas.microsoft.com/office/drawing/2014/main" id="{00000000-0008-0000-0100-00004C010000}"/>
                </a:ext>
              </a:extLst>
            </xdr:cNvPr>
            <xdr:cNvSpPr>
              <a:spLocks noChangeAspect="1"/>
            </xdr:cNvSpPr>
          </xdr:nvSpPr>
          <xdr:spPr>
            <a:xfrm>
              <a:off x="8457315" y="108962"/>
              <a:ext cx="135198" cy="180000"/>
            </a:xfrm>
            <a:custGeom>
              <a:avLst/>
              <a:gdLst>
                <a:gd name="connsiteX0" fmla="*/ 1581153 w 2535787"/>
                <a:gd name="connsiteY0" fmla="*/ 2322953 h 3376090"/>
                <a:gd name="connsiteX1" fmla="*/ 1482262 w 2535787"/>
                <a:gd name="connsiteY1" fmla="*/ 2388502 h 3376090"/>
                <a:gd name="connsiteX2" fmla="*/ 1473828 w 2535787"/>
                <a:gd name="connsiteY2" fmla="*/ 2430278 h 3376090"/>
                <a:gd name="connsiteX3" fmla="*/ 1482262 w 2535787"/>
                <a:gd name="connsiteY3" fmla="*/ 2472053 h 3376090"/>
                <a:gd name="connsiteX4" fmla="*/ 1581153 w 2535787"/>
                <a:gd name="connsiteY4" fmla="*/ 2537602 h 3376090"/>
                <a:gd name="connsiteX5" fmla="*/ 2008482 w 2535787"/>
                <a:gd name="connsiteY5" fmla="*/ 2537603 h 3376090"/>
                <a:gd name="connsiteX6" fmla="*/ 2115807 w 2535787"/>
                <a:gd name="connsiteY6" fmla="*/ 2430278 h 3376090"/>
                <a:gd name="connsiteX7" fmla="*/ 2115808 w 2535787"/>
                <a:gd name="connsiteY7" fmla="*/ 2430278 h 3376090"/>
                <a:gd name="connsiteX8" fmla="*/ 2008483 w 2535787"/>
                <a:gd name="connsiteY8" fmla="*/ 2322953 h 3376090"/>
                <a:gd name="connsiteX9" fmla="*/ 1164301 w 2535787"/>
                <a:gd name="connsiteY9" fmla="*/ 2121918 h 3376090"/>
                <a:gd name="connsiteX10" fmla="*/ 1088411 w 2535787"/>
                <a:gd name="connsiteY10" fmla="*/ 2153353 h 3376090"/>
                <a:gd name="connsiteX11" fmla="*/ 744283 w 2535787"/>
                <a:gd name="connsiteY11" fmla="*/ 2497481 h 3376090"/>
                <a:gd name="connsiteX12" fmla="*/ 611461 w 2535787"/>
                <a:gd name="connsiteY12" fmla="*/ 2364660 h 3376090"/>
                <a:gd name="connsiteX13" fmla="*/ 495185 w 2535787"/>
                <a:gd name="connsiteY13" fmla="*/ 2341084 h 3376090"/>
                <a:gd name="connsiteX14" fmla="*/ 459682 w 2535787"/>
                <a:gd name="connsiteY14" fmla="*/ 2364660 h 3376090"/>
                <a:gd name="connsiteX15" fmla="*/ 459682 w 2535787"/>
                <a:gd name="connsiteY15" fmla="*/ 2364659 h 3376090"/>
                <a:gd name="connsiteX16" fmla="*/ 459681 w 2535787"/>
                <a:gd name="connsiteY16" fmla="*/ 2364660 h 3376090"/>
                <a:gd name="connsiteX17" fmla="*/ 459682 w 2535787"/>
                <a:gd name="connsiteY17" fmla="*/ 2364660 h 3376090"/>
                <a:gd name="connsiteX18" fmla="*/ 436106 w 2535787"/>
                <a:gd name="connsiteY18" fmla="*/ 2400163 h 3376090"/>
                <a:gd name="connsiteX19" fmla="*/ 459682 w 2535787"/>
                <a:gd name="connsiteY19" fmla="*/ 2516439 h 3376090"/>
                <a:gd name="connsiteX20" fmla="*/ 668391 w 2535787"/>
                <a:gd name="connsiteY20" fmla="*/ 2725151 h 3376090"/>
                <a:gd name="connsiteX21" fmla="*/ 820172 w 2535787"/>
                <a:gd name="connsiteY21" fmla="*/ 2725151 h 3376090"/>
                <a:gd name="connsiteX22" fmla="*/ 820173 w 2535787"/>
                <a:gd name="connsiteY22" fmla="*/ 2725151 h 3376090"/>
                <a:gd name="connsiteX23" fmla="*/ 820175 w 2535787"/>
                <a:gd name="connsiteY23" fmla="*/ 2725148 h 3376090"/>
                <a:gd name="connsiteX24" fmla="*/ 1240191 w 2535787"/>
                <a:gd name="connsiteY24" fmla="*/ 2305134 h 3376090"/>
                <a:gd name="connsiteX25" fmla="*/ 1240191 w 2535787"/>
                <a:gd name="connsiteY25" fmla="*/ 2153354 h 3376090"/>
                <a:gd name="connsiteX26" fmla="*/ 1240191 w 2535787"/>
                <a:gd name="connsiteY26" fmla="*/ 2153353 h 3376090"/>
                <a:gd name="connsiteX27" fmla="*/ 1164301 w 2535787"/>
                <a:gd name="connsiteY27" fmla="*/ 2121918 h 3376090"/>
                <a:gd name="connsiteX28" fmla="*/ 1581153 w 2535787"/>
                <a:gd name="connsiteY28" fmla="*/ 1473396 h 3376090"/>
                <a:gd name="connsiteX29" fmla="*/ 1482262 w 2535787"/>
                <a:gd name="connsiteY29" fmla="*/ 1538945 h 3376090"/>
                <a:gd name="connsiteX30" fmla="*/ 1473828 w 2535787"/>
                <a:gd name="connsiteY30" fmla="*/ 1580721 h 3376090"/>
                <a:gd name="connsiteX31" fmla="*/ 1482262 w 2535787"/>
                <a:gd name="connsiteY31" fmla="*/ 1622496 h 3376090"/>
                <a:gd name="connsiteX32" fmla="*/ 1581153 w 2535787"/>
                <a:gd name="connsiteY32" fmla="*/ 1688045 h 3376090"/>
                <a:gd name="connsiteX33" fmla="*/ 2008482 w 2535787"/>
                <a:gd name="connsiteY33" fmla="*/ 1688046 h 3376090"/>
                <a:gd name="connsiteX34" fmla="*/ 2115807 w 2535787"/>
                <a:gd name="connsiteY34" fmla="*/ 1580721 h 3376090"/>
                <a:gd name="connsiteX35" fmla="*/ 2115808 w 2535787"/>
                <a:gd name="connsiteY35" fmla="*/ 1580721 h 3376090"/>
                <a:gd name="connsiteX36" fmla="*/ 2008483 w 2535787"/>
                <a:gd name="connsiteY36" fmla="*/ 1473396 h 3376090"/>
                <a:gd name="connsiteX37" fmla="*/ 1164301 w 2535787"/>
                <a:gd name="connsiteY37" fmla="*/ 1272361 h 3376090"/>
                <a:gd name="connsiteX38" fmla="*/ 1088411 w 2535787"/>
                <a:gd name="connsiteY38" fmla="*/ 1303796 h 3376090"/>
                <a:gd name="connsiteX39" fmla="*/ 744283 w 2535787"/>
                <a:gd name="connsiteY39" fmla="*/ 1647924 h 3376090"/>
                <a:gd name="connsiteX40" fmla="*/ 611461 w 2535787"/>
                <a:gd name="connsiteY40" fmla="*/ 1515103 h 3376090"/>
                <a:gd name="connsiteX41" fmla="*/ 495185 w 2535787"/>
                <a:gd name="connsiteY41" fmla="*/ 1491527 h 3376090"/>
                <a:gd name="connsiteX42" fmla="*/ 459682 w 2535787"/>
                <a:gd name="connsiteY42" fmla="*/ 1515103 h 3376090"/>
                <a:gd name="connsiteX43" fmla="*/ 459682 w 2535787"/>
                <a:gd name="connsiteY43" fmla="*/ 1515102 h 3376090"/>
                <a:gd name="connsiteX44" fmla="*/ 459681 w 2535787"/>
                <a:gd name="connsiteY44" fmla="*/ 1515103 h 3376090"/>
                <a:gd name="connsiteX45" fmla="*/ 459682 w 2535787"/>
                <a:gd name="connsiteY45" fmla="*/ 1515103 h 3376090"/>
                <a:gd name="connsiteX46" fmla="*/ 436106 w 2535787"/>
                <a:gd name="connsiteY46" fmla="*/ 1550606 h 3376090"/>
                <a:gd name="connsiteX47" fmla="*/ 459682 w 2535787"/>
                <a:gd name="connsiteY47" fmla="*/ 1666882 h 3376090"/>
                <a:gd name="connsiteX48" fmla="*/ 668391 w 2535787"/>
                <a:gd name="connsiteY48" fmla="*/ 1875593 h 3376090"/>
                <a:gd name="connsiteX49" fmla="*/ 744282 w 2535787"/>
                <a:gd name="connsiteY49" fmla="*/ 1907028 h 3376090"/>
                <a:gd name="connsiteX50" fmla="*/ 744283 w 2535787"/>
                <a:gd name="connsiteY50" fmla="*/ 1907028 h 3376090"/>
                <a:gd name="connsiteX51" fmla="*/ 784669 w 2535787"/>
                <a:gd name="connsiteY51" fmla="*/ 1899169 h 3376090"/>
                <a:gd name="connsiteX52" fmla="*/ 820173 w 2535787"/>
                <a:gd name="connsiteY52" fmla="*/ 1875594 h 3376090"/>
                <a:gd name="connsiteX53" fmla="*/ 820175 w 2535787"/>
                <a:gd name="connsiteY53" fmla="*/ 1875591 h 3376090"/>
                <a:gd name="connsiteX54" fmla="*/ 1240191 w 2535787"/>
                <a:gd name="connsiteY54" fmla="*/ 1455577 h 3376090"/>
                <a:gd name="connsiteX55" fmla="*/ 1240191 w 2535787"/>
                <a:gd name="connsiteY55" fmla="*/ 1303797 h 3376090"/>
                <a:gd name="connsiteX56" fmla="*/ 1240191 w 2535787"/>
                <a:gd name="connsiteY56" fmla="*/ 1303796 h 3376090"/>
                <a:gd name="connsiteX57" fmla="*/ 1164301 w 2535787"/>
                <a:gd name="connsiteY57" fmla="*/ 1272361 h 3376090"/>
                <a:gd name="connsiteX58" fmla="*/ 224519 w 2535787"/>
                <a:gd name="connsiteY58" fmla="*/ 420258 h 3376090"/>
                <a:gd name="connsiteX59" fmla="*/ 419980 w 2535787"/>
                <a:gd name="connsiteY59" fmla="*/ 420258 h 3376090"/>
                <a:gd name="connsiteX60" fmla="*/ 419980 w 2535787"/>
                <a:gd name="connsiteY60" fmla="*/ 745536 h 3376090"/>
                <a:gd name="connsiteX61" fmla="*/ 727582 w 2535787"/>
                <a:gd name="connsiteY61" fmla="*/ 1053138 h 3376090"/>
                <a:gd name="connsiteX62" fmla="*/ 1808205 w 2535787"/>
                <a:gd name="connsiteY62" fmla="*/ 1053138 h 3376090"/>
                <a:gd name="connsiteX63" fmla="*/ 2115807 w 2535787"/>
                <a:gd name="connsiteY63" fmla="*/ 745536 h 3376090"/>
                <a:gd name="connsiteX64" fmla="*/ 2115807 w 2535787"/>
                <a:gd name="connsiteY64" fmla="*/ 420258 h 3376090"/>
                <a:gd name="connsiteX65" fmla="*/ 2311268 w 2535787"/>
                <a:gd name="connsiteY65" fmla="*/ 420258 h 3376090"/>
                <a:gd name="connsiteX66" fmla="*/ 2535787 w 2535787"/>
                <a:gd name="connsiteY66" fmla="*/ 644777 h 3376090"/>
                <a:gd name="connsiteX67" fmla="*/ 2535787 w 2535787"/>
                <a:gd name="connsiteY67" fmla="*/ 3151571 h 3376090"/>
                <a:gd name="connsiteX68" fmla="*/ 2311268 w 2535787"/>
                <a:gd name="connsiteY68" fmla="*/ 3376090 h 3376090"/>
                <a:gd name="connsiteX69" fmla="*/ 224519 w 2535787"/>
                <a:gd name="connsiteY69" fmla="*/ 3376090 h 3376090"/>
                <a:gd name="connsiteX70" fmla="*/ 0 w 2535787"/>
                <a:gd name="connsiteY70" fmla="*/ 3151571 h 3376090"/>
                <a:gd name="connsiteX71" fmla="*/ 0 w 2535787"/>
                <a:gd name="connsiteY71" fmla="*/ 644777 h 3376090"/>
                <a:gd name="connsiteX72" fmla="*/ 224519 w 2535787"/>
                <a:gd name="connsiteY72" fmla="*/ 420258 h 3376090"/>
                <a:gd name="connsiteX73" fmla="*/ 1267893 w 2535787"/>
                <a:gd name="connsiteY73" fmla="*/ 0 h 3376090"/>
                <a:gd name="connsiteX74" fmla="*/ 1559466 w 2535787"/>
                <a:gd name="connsiteY74" fmla="*/ 193267 h 3376090"/>
                <a:gd name="connsiteX75" fmla="*/ 1566164 w 2535787"/>
                <a:gd name="connsiteY75" fmla="*/ 214845 h 3376090"/>
                <a:gd name="connsiteX76" fmla="*/ 1796853 w 2535787"/>
                <a:gd name="connsiteY76" fmla="*/ 214845 h 3376090"/>
                <a:gd name="connsiteX77" fmla="*/ 1902335 w 2535787"/>
                <a:gd name="connsiteY77" fmla="*/ 320327 h 3376090"/>
                <a:gd name="connsiteX78" fmla="*/ 1902335 w 2535787"/>
                <a:gd name="connsiteY78" fmla="*/ 742243 h 3376090"/>
                <a:gd name="connsiteX79" fmla="*/ 1796853 w 2535787"/>
                <a:gd name="connsiteY79" fmla="*/ 847725 h 3376090"/>
                <a:gd name="connsiteX80" fmla="*/ 738934 w 2535787"/>
                <a:gd name="connsiteY80" fmla="*/ 847725 h 3376090"/>
                <a:gd name="connsiteX81" fmla="*/ 633452 w 2535787"/>
                <a:gd name="connsiteY81" fmla="*/ 742243 h 3376090"/>
                <a:gd name="connsiteX82" fmla="*/ 633452 w 2535787"/>
                <a:gd name="connsiteY82" fmla="*/ 320327 h 3376090"/>
                <a:gd name="connsiteX83" fmla="*/ 738934 w 2535787"/>
                <a:gd name="connsiteY83" fmla="*/ 214845 h 3376090"/>
                <a:gd name="connsiteX84" fmla="*/ 969623 w 2535787"/>
                <a:gd name="connsiteY84" fmla="*/ 214845 h 3376090"/>
                <a:gd name="connsiteX85" fmla="*/ 976321 w 2535787"/>
                <a:gd name="connsiteY85" fmla="*/ 193267 h 3376090"/>
                <a:gd name="connsiteX86" fmla="*/ 1267893 w 2535787"/>
                <a:gd name="connsiteY86" fmla="*/ 0 h 33760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</a:cxnLst>
              <a:rect l="l" t="t" r="r" b="b"/>
              <a:pathLst>
                <a:path w="2535787" h="3376090">
                  <a:moveTo>
                    <a:pt x="1581153" y="2322953"/>
                  </a:moveTo>
                  <a:cubicBezTo>
                    <a:pt x="1536698" y="2322953"/>
                    <a:pt x="1498555" y="2349982"/>
                    <a:pt x="1482262" y="2388502"/>
                  </a:cubicBezTo>
                  <a:lnTo>
                    <a:pt x="1473828" y="2430278"/>
                  </a:lnTo>
                  <a:lnTo>
                    <a:pt x="1482262" y="2472053"/>
                  </a:lnTo>
                  <a:cubicBezTo>
                    <a:pt x="1498555" y="2510574"/>
                    <a:pt x="1536698" y="2537602"/>
                    <a:pt x="1581153" y="2537602"/>
                  </a:cubicBezTo>
                  <a:lnTo>
                    <a:pt x="2008482" y="2537603"/>
                  </a:lnTo>
                  <a:cubicBezTo>
                    <a:pt x="2067756" y="2537603"/>
                    <a:pt x="2115807" y="2489552"/>
                    <a:pt x="2115807" y="2430278"/>
                  </a:cubicBezTo>
                  <a:lnTo>
                    <a:pt x="2115808" y="2430278"/>
                  </a:lnTo>
                  <a:cubicBezTo>
                    <a:pt x="2115808" y="2371004"/>
                    <a:pt x="2067757" y="2322953"/>
                    <a:pt x="2008483" y="2322953"/>
                  </a:cubicBezTo>
                  <a:close/>
                  <a:moveTo>
                    <a:pt x="1164301" y="2121918"/>
                  </a:moveTo>
                  <a:cubicBezTo>
                    <a:pt x="1136834" y="2121918"/>
                    <a:pt x="1109368" y="2132397"/>
                    <a:pt x="1088411" y="2153353"/>
                  </a:cubicBezTo>
                  <a:lnTo>
                    <a:pt x="744283" y="2497481"/>
                  </a:lnTo>
                  <a:lnTo>
                    <a:pt x="611461" y="2364660"/>
                  </a:lnTo>
                  <a:cubicBezTo>
                    <a:pt x="580026" y="2333225"/>
                    <a:pt x="533944" y="2325367"/>
                    <a:pt x="495185" y="2341084"/>
                  </a:cubicBezTo>
                  <a:lnTo>
                    <a:pt x="459682" y="2364660"/>
                  </a:lnTo>
                  <a:lnTo>
                    <a:pt x="459682" y="2364659"/>
                  </a:lnTo>
                  <a:lnTo>
                    <a:pt x="459681" y="2364660"/>
                  </a:lnTo>
                  <a:lnTo>
                    <a:pt x="459682" y="2364660"/>
                  </a:lnTo>
                  <a:lnTo>
                    <a:pt x="436106" y="2400163"/>
                  </a:lnTo>
                  <a:cubicBezTo>
                    <a:pt x="420389" y="2438922"/>
                    <a:pt x="428247" y="2485004"/>
                    <a:pt x="459682" y="2516439"/>
                  </a:cubicBezTo>
                  <a:lnTo>
                    <a:pt x="668391" y="2725151"/>
                  </a:lnTo>
                  <a:cubicBezTo>
                    <a:pt x="710304" y="2767064"/>
                    <a:pt x="778259" y="2767064"/>
                    <a:pt x="820172" y="2725151"/>
                  </a:cubicBezTo>
                  <a:lnTo>
                    <a:pt x="820173" y="2725151"/>
                  </a:lnTo>
                  <a:lnTo>
                    <a:pt x="820175" y="2725148"/>
                  </a:lnTo>
                  <a:lnTo>
                    <a:pt x="1240191" y="2305134"/>
                  </a:lnTo>
                  <a:cubicBezTo>
                    <a:pt x="1282104" y="2263221"/>
                    <a:pt x="1282104" y="2195267"/>
                    <a:pt x="1240191" y="2153354"/>
                  </a:cubicBezTo>
                  <a:lnTo>
                    <a:pt x="1240191" y="2153353"/>
                  </a:lnTo>
                  <a:cubicBezTo>
                    <a:pt x="1219235" y="2132397"/>
                    <a:pt x="1191768" y="2121918"/>
                    <a:pt x="1164301" y="2121918"/>
                  </a:cubicBezTo>
                  <a:close/>
                  <a:moveTo>
                    <a:pt x="1581153" y="1473396"/>
                  </a:moveTo>
                  <a:cubicBezTo>
                    <a:pt x="1536698" y="1473396"/>
                    <a:pt x="1498555" y="1500425"/>
                    <a:pt x="1482262" y="1538945"/>
                  </a:cubicBezTo>
                  <a:lnTo>
                    <a:pt x="1473828" y="1580721"/>
                  </a:lnTo>
                  <a:lnTo>
                    <a:pt x="1482262" y="1622496"/>
                  </a:lnTo>
                  <a:cubicBezTo>
                    <a:pt x="1498555" y="1661016"/>
                    <a:pt x="1536698" y="1688045"/>
                    <a:pt x="1581153" y="1688045"/>
                  </a:cubicBezTo>
                  <a:lnTo>
                    <a:pt x="2008482" y="1688046"/>
                  </a:lnTo>
                  <a:cubicBezTo>
                    <a:pt x="2067756" y="1688046"/>
                    <a:pt x="2115807" y="1639995"/>
                    <a:pt x="2115807" y="1580721"/>
                  </a:cubicBezTo>
                  <a:lnTo>
                    <a:pt x="2115808" y="1580721"/>
                  </a:lnTo>
                  <a:cubicBezTo>
                    <a:pt x="2115808" y="1521447"/>
                    <a:pt x="2067757" y="1473396"/>
                    <a:pt x="2008483" y="1473396"/>
                  </a:cubicBezTo>
                  <a:close/>
                  <a:moveTo>
                    <a:pt x="1164301" y="1272361"/>
                  </a:moveTo>
                  <a:cubicBezTo>
                    <a:pt x="1136834" y="1272361"/>
                    <a:pt x="1109368" y="1282840"/>
                    <a:pt x="1088411" y="1303796"/>
                  </a:cubicBezTo>
                  <a:lnTo>
                    <a:pt x="744283" y="1647924"/>
                  </a:lnTo>
                  <a:lnTo>
                    <a:pt x="611461" y="1515103"/>
                  </a:lnTo>
                  <a:cubicBezTo>
                    <a:pt x="580026" y="1483668"/>
                    <a:pt x="533944" y="1475810"/>
                    <a:pt x="495185" y="1491527"/>
                  </a:cubicBezTo>
                  <a:lnTo>
                    <a:pt x="459682" y="1515103"/>
                  </a:lnTo>
                  <a:lnTo>
                    <a:pt x="459682" y="1515102"/>
                  </a:lnTo>
                  <a:lnTo>
                    <a:pt x="459681" y="1515103"/>
                  </a:lnTo>
                  <a:lnTo>
                    <a:pt x="459682" y="1515103"/>
                  </a:lnTo>
                  <a:lnTo>
                    <a:pt x="436106" y="1550606"/>
                  </a:lnTo>
                  <a:cubicBezTo>
                    <a:pt x="420389" y="1589365"/>
                    <a:pt x="428247" y="1635447"/>
                    <a:pt x="459682" y="1666882"/>
                  </a:cubicBezTo>
                  <a:lnTo>
                    <a:pt x="668391" y="1875593"/>
                  </a:lnTo>
                  <a:cubicBezTo>
                    <a:pt x="689348" y="1896550"/>
                    <a:pt x="716815" y="1907028"/>
                    <a:pt x="744282" y="1907028"/>
                  </a:cubicBezTo>
                  <a:lnTo>
                    <a:pt x="744283" y="1907028"/>
                  </a:lnTo>
                  <a:cubicBezTo>
                    <a:pt x="758017" y="1907028"/>
                    <a:pt x="771750" y="1904408"/>
                    <a:pt x="784669" y="1899169"/>
                  </a:cubicBezTo>
                  <a:lnTo>
                    <a:pt x="820173" y="1875594"/>
                  </a:lnTo>
                  <a:lnTo>
                    <a:pt x="820175" y="1875591"/>
                  </a:lnTo>
                  <a:lnTo>
                    <a:pt x="1240191" y="1455577"/>
                  </a:lnTo>
                  <a:cubicBezTo>
                    <a:pt x="1282104" y="1413664"/>
                    <a:pt x="1282104" y="1345710"/>
                    <a:pt x="1240191" y="1303797"/>
                  </a:cubicBezTo>
                  <a:lnTo>
                    <a:pt x="1240191" y="1303796"/>
                  </a:lnTo>
                  <a:cubicBezTo>
                    <a:pt x="1219235" y="1282840"/>
                    <a:pt x="1191768" y="1272361"/>
                    <a:pt x="1164301" y="1272361"/>
                  </a:cubicBezTo>
                  <a:close/>
                  <a:moveTo>
                    <a:pt x="224519" y="420258"/>
                  </a:moveTo>
                  <a:lnTo>
                    <a:pt x="419980" y="420258"/>
                  </a:lnTo>
                  <a:lnTo>
                    <a:pt x="419980" y="745536"/>
                  </a:lnTo>
                  <a:cubicBezTo>
                    <a:pt x="419980" y="915420"/>
                    <a:pt x="557698" y="1053138"/>
                    <a:pt x="727582" y="1053138"/>
                  </a:cubicBezTo>
                  <a:lnTo>
                    <a:pt x="1808205" y="1053138"/>
                  </a:lnTo>
                  <a:cubicBezTo>
                    <a:pt x="1978089" y="1053138"/>
                    <a:pt x="2115807" y="915420"/>
                    <a:pt x="2115807" y="745536"/>
                  </a:cubicBezTo>
                  <a:lnTo>
                    <a:pt x="2115807" y="420258"/>
                  </a:lnTo>
                  <a:lnTo>
                    <a:pt x="2311268" y="420258"/>
                  </a:lnTo>
                  <a:cubicBezTo>
                    <a:pt x="2435266" y="420258"/>
                    <a:pt x="2535787" y="520779"/>
                    <a:pt x="2535787" y="644777"/>
                  </a:cubicBezTo>
                  <a:lnTo>
                    <a:pt x="2535787" y="3151571"/>
                  </a:lnTo>
                  <a:cubicBezTo>
                    <a:pt x="2535787" y="3275569"/>
                    <a:pt x="2435266" y="3376090"/>
                    <a:pt x="2311268" y="3376090"/>
                  </a:cubicBezTo>
                  <a:lnTo>
                    <a:pt x="224519" y="3376090"/>
                  </a:lnTo>
                  <a:cubicBezTo>
                    <a:pt x="100521" y="3376090"/>
                    <a:pt x="0" y="3275569"/>
                    <a:pt x="0" y="3151571"/>
                  </a:cubicBezTo>
                  <a:lnTo>
                    <a:pt x="0" y="644777"/>
                  </a:lnTo>
                  <a:cubicBezTo>
                    <a:pt x="0" y="520779"/>
                    <a:pt x="100521" y="420258"/>
                    <a:pt x="224519" y="420258"/>
                  </a:cubicBezTo>
                  <a:close/>
                  <a:moveTo>
                    <a:pt x="1267893" y="0"/>
                  </a:moveTo>
                  <a:cubicBezTo>
                    <a:pt x="1398967" y="0"/>
                    <a:pt x="1511428" y="79692"/>
                    <a:pt x="1559466" y="193267"/>
                  </a:cubicBezTo>
                  <a:lnTo>
                    <a:pt x="1566164" y="214845"/>
                  </a:lnTo>
                  <a:lnTo>
                    <a:pt x="1796853" y="214845"/>
                  </a:lnTo>
                  <a:cubicBezTo>
                    <a:pt x="1855109" y="214845"/>
                    <a:pt x="1902335" y="262071"/>
                    <a:pt x="1902335" y="320327"/>
                  </a:cubicBezTo>
                  <a:lnTo>
                    <a:pt x="1902335" y="742243"/>
                  </a:lnTo>
                  <a:cubicBezTo>
                    <a:pt x="1902335" y="800499"/>
                    <a:pt x="1855109" y="847725"/>
                    <a:pt x="1796853" y="847725"/>
                  </a:cubicBezTo>
                  <a:lnTo>
                    <a:pt x="738934" y="847725"/>
                  </a:lnTo>
                  <a:cubicBezTo>
                    <a:pt x="680678" y="847725"/>
                    <a:pt x="633452" y="800499"/>
                    <a:pt x="633452" y="742243"/>
                  </a:cubicBezTo>
                  <a:lnTo>
                    <a:pt x="633452" y="320327"/>
                  </a:lnTo>
                  <a:cubicBezTo>
                    <a:pt x="633452" y="262071"/>
                    <a:pt x="680678" y="214845"/>
                    <a:pt x="738934" y="214845"/>
                  </a:cubicBezTo>
                  <a:lnTo>
                    <a:pt x="969623" y="214845"/>
                  </a:lnTo>
                  <a:lnTo>
                    <a:pt x="976321" y="193267"/>
                  </a:lnTo>
                  <a:cubicBezTo>
                    <a:pt x="1024359" y="79692"/>
                    <a:pt x="1136820" y="0"/>
                    <a:pt x="1267893" y="0"/>
                  </a:cubicBezTo>
                  <a:close/>
                </a:path>
              </a:pathLst>
            </a:custGeom>
            <a:noFill/>
            <a:ln w="9525" cap="rnd">
              <a:solidFill>
                <a:schemeClr val="bg1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33" name="Agrupar 332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00000000-0008-0000-0100-00004D010000}"/>
              </a:ext>
            </a:extLst>
          </xdr:cNvPr>
          <xdr:cNvGrpSpPr/>
        </xdr:nvGrpSpPr>
        <xdr:grpSpPr>
          <a:xfrm>
            <a:off x="11195664" y="123825"/>
            <a:ext cx="999327" cy="243701"/>
            <a:chOff x="9765034" y="104252"/>
            <a:chExt cx="999581" cy="243701"/>
          </a:xfrm>
        </xdr:grpSpPr>
        <xdr:sp macro="" textlink="">
          <xdr:nvSpPr>
            <xdr:cNvPr id="334" name="Retângulo: Cantos Arredondados 333">
              <a:hlinkClick xmlns:r="http://schemas.openxmlformats.org/officeDocument/2006/relationships" r:id="rId46"/>
              <a:extLst>
                <a:ext uri="{FF2B5EF4-FFF2-40B4-BE49-F238E27FC236}">
                  <a16:creationId xmlns:a16="http://schemas.microsoft.com/office/drawing/2014/main" id="{00000000-0008-0000-0100-00004E010000}"/>
                </a:ext>
              </a:extLst>
            </xdr:cNvPr>
            <xdr:cNvSpPr/>
          </xdr:nvSpPr>
          <xdr:spPr>
            <a:xfrm>
              <a:off x="9765034" y="104252"/>
              <a:ext cx="99958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Ligações</a:t>
              </a:r>
            </a:p>
          </xdr:txBody>
        </xdr:sp>
        <xdr:sp macro="" textlink="">
          <xdr:nvSpPr>
            <xdr:cNvPr id="335" name="Forma Livre: Forma 334">
              <a:extLst>
                <a:ext uri="{FF2B5EF4-FFF2-40B4-BE49-F238E27FC236}">
                  <a16:creationId xmlns:a16="http://schemas.microsoft.com/office/drawing/2014/main" id="{00000000-0008-0000-0100-00004F010000}"/>
                </a:ext>
              </a:extLst>
            </xdr:cNvPr>
            <xdr:cNvSpPr>
              <a:spLocks noChangeAspect="1"/>
            </xdr:cNvSpPr>
          </xdr:nvSpPr>
          <xdr:spPr>
            <a:xfrm>
              <a:off x="9810751" y="133349"/>
              <a:ext cx="180000" cy="180000"/>
            </a:xfrm>
            <a:custGeom>
              <a:avLst/>
              <a:gdLst>
                <a:gd name="connsiteX0" fmla="*/ 2123136 w 4250872"/>
                <a:gd name="connsiteY0" fmla="*/ 2070418 h 4250872"/>
                <a:gd name="connsiteX1" fmla="*/ 2154685 w 4250872"/>
                <a:gd name="connsiteY1" fmla="*/ 2096189 h 4250872"/>
                <a:gd name="connsiteX2" fmla="*/ 2170560 w 4250872"/>
                <a:gd name="connsiteY2" fmla="*/ 2115622 h 4250872"/>
                <a:gd name="connsiteX3" fmla="*/ 2139010 w 4250872"/>
                <a:gd name="connsiteY3" fmla="*/ 2089852 h 4250872"/>
                <a:gd name="connsiteX4" fmla="*/ 1601747 w 4250872"/>
                <a:gd name="connsiteY4" fmla="*/ 1799924 h 4250872"/>
                <a:gd name="connsiteX5" fmla="*/ 1590811 w 4250872"/>
                <a:gd name="connsiteY5" fmla="*/ 1836827 h 4250872"/>
                <a:gd name="connsiteX6" fmla="*/ 1590811 w 4250872"/>
                <a:gd name="connsiteY6" fmla="*/ 2104985 h 4250872"/>
                <a:gd name="connsiteX7" fmla="*/ 1624149 w 4250872"/>
                <a:gd name="connsiteY7" fmla="*/ 2217478 h 4250872"/>
                <a:gd name="connsiteX8" fmla="*/ 1202591 w 4250872"/>
                <a:gd name="connsiteY8" fmla="*/ 2639037 h 4250872"/>
                <a:gd name="connsiteX9" fmla="*/ 1202591 w 4250872"/>
                <a:gd name="connsiteY9" fmla="*/ 3048283 h 4250872"/>
                <a:gd name="connsiteX10" fmla="*/ 1611837 w 4250872"/>
                <a:gd name="connsiteY10" fmla="*/ 3048283 h 4250872"/>
                <a:gd name="connsiteX11" fmla="*/ 2033396 w 4250872"/>
                <a:gd name="connsiteY11" fmla="*/ 2626725 h 4250872"/>
                <a:gd name="connsiteX12" fmla="*/ 2102651 w 4250872"/>
                <a:gd name="connsiteY12" fmla="*/ 2557470 h 4250872"/>
                <a:gd name="connsiteX13" fmla="*/ 2158846 w 4250872"/>
                <a:gd name="connsiteY13" fmla="*/ 2574124 h 4250872"/>
                <a:gd name="connsiteX14" fmla="*/ 2504731 w 4250872"/>
                <a:gd name="connsiteY14" fmla="*/ 2540640 h 4250872"/>
                <a:gd name="connsiteX15" fmla="*/ 2519089 w 4250872"/>
                <a:gd name="connsiteY15" fmla="*/ 2533084 h 4250872"/>
                <a:gd name="connsiteX16" fmla="*/ 2470838 w 4250872"/>
                <a:gd name="connsiteY16" fmla="*/ 2624776 h 4250872"/>
                <a:gd name="connsiteX17" fmla="*/ 2450947 w 4250872"/>
                <a:gd name="connsiteY17" fmla="*/ 2649129 h 4250872"/>
                <a:gd name="connsiteX18" fmla="*/ 2392710 w 4250872"/>
                <a:gd name="connsiteY18" fmla="*/ 2720423 h 4250872"/>
                <a:gd name="connsiteX19" fmla="*/ 1826826 w 4250872"/>
                <a:gd name="connsiteY19" fmla="*/ 3286306 h 4250872"/>
                <a:gd name="connsiteX20" fmla="*/ 1060213 w 4250872"/>
                <a:gd name="connsiteY20" fmla="*/ 3364435 h 4250872"/>
                <a:gd name="connsiteX21" fmla="*/ 964566 w 4250872"/>
                <a:gd name="connsiteY21" fmla="*/ 3286306 h 4250872"/>
                <a:gd name="connsiteX22" fmla="*/ 886438 w 4250872"/>
                <a:gd name="connsiteY22" fmla="*/ 3190660 h 4250872"/>
                <a:gd name="connsiteX23" fmla="*/ 964567 w 4250872"/>
                <a:gd name="connsiteY23" fmla="*/ 2424047 h 4250872"/>
                <a:gd name="connsiteX24" fmla="*/ 1530449 w 4250872"/>
                <a:gd name="connsiteY24" fmla="*/ 1858164 h 4250872"/>
                <a:gd name="connsiteX25" fmla="*/ 2199462 w 4250872"/>
                <a:gd name="connsiteY25" fmla="*/ 1728672 h 4250872"/>
                <a:gd name="connsiteX26" fmla="*/ 2297062 w 4250872"/>
                <a:gd name="connsiteY26" fmla="*/ 1780034 h 4250872"/>
                <a:gd name="connsiteX27" fmla="*/ 2392709 w 4250872"/>
                <a:gd name="connsiteY27" fmla="*/ 1858163 h 4250872"/>
                <a:gd name="connsiteX28" fmla="*/ 2392710 w 4250872"/>
                <a:gd name="connsiteY28" fmla="*/ 1858162 h 4250872"/>
                <a:gd name="connsiteX29" fmla="*/ 2470839 w 4250872"/>
                <a:gd name="connsiteY29" fmla="*/ 1953809 h 4250872"/>
                <a:gd name="connsiteX30" fmla="*/ 2507023 w 4250872"/>
                <a:gd name="connsiteY30" fmla="*/ 2022568 h 4250872"/>
                <a:gd name="connsiteX31" fmla="*/ 2526645 w 4250872"/>
                <a:gd name="connsiteY31" fmla="*/ 2059857 h 4250872"/>
                <a:gd name="connsiteX32" fmla="*/ 2543475 w 4250872"/>
                <a:gd name="connsiteY32" fmla="*/ 2116644 h 4250872"/>
                <a:gd name="connsiteX33" fmla="*/ 2560128 w 4250872"/>
                <a:gd name="connsiteY33" fmla="*/ 2172840 h 4250872"/>
                <a:gd name="connsiteX34" fmla="*/ 2526644 w 4250872"/>
                <a:gd name="connsiteY34" fmla="*/ 2518725 h 4250872"/>
                <a:gd name="connsiteX35" fmla="*/ 2519089 w 4250872"/>
                <a:gd name="connsiteY35" fmla="*/ 2533083 h 4250872"/>
                <a:gd name="connsiteX36" fmla="*/ 2504731 w 4250872"/>
                <a:gd name="connsiteY36" fmla="*/ 2540638 h 4250872"/>
                <a:gd name="connsiteX37" fmla="*/ 2158846 w 4250872"/>
                <a:gd name="connsiteY37" fmla="*/ 2574122 h 4250872"/>
                <a:gd name="connsiteX38" fmla="*/ 2102651 w 4250872"/>
                <a:gd name="connsiteY38" fmla="*/ 2557468 h 4250872"/>
                <a:gd name="connsiteX39" fmla="*/ 2154685 w 4250872"/>
                <a:gd name="connsiteY39" fmla="*/ 2505434 h 4250872"/>
                <a:gd name="connsiteX40" fmla="*/ 2234146 w 4250872"/>
                <a:gd name="connsiteY40" fmla="*/ 2245541 h 4250872"/>
                <a:gd name="connsiteX41" fmla="*/ 2232196 w 4250872"/>
                <a:gd name="connsiteY41" fmla="*/ 2238963 h 4250872"/>
                <a:gd name="connsiteX42" fmla="*/ 2218254 w 4250872"/>
                <a:gd name="connsiteY42" fmla="*/ 2191917 h 4250872"/>
                <a:gd name="connsiteX43" fmla="*/ 2191767 w 4250872"/>
                <a:gd name="connsiteY43" fmla="*/ 2141583 h 4250872"/>
                <a:gd name="connsiteX44" fmla="*/ 2170560 w 4250872"/>
                <a:gd name="connsiteY44" fmla="*/ 2115620 h 4250872"/>
                <a:gd name="connsiteX45" fmla="*/ 2170561 w 4250872"/>
                <a:gd name="connsiteY45" fmla="*/ 2115621 h 4250872"/>
                <a:gd name="connsiteX46" fmla="*/ 2154686 w 4250872"/>
                <a:gd name="connsiteY46" fmla="*/ 2096188 h 4250872"/>
                <a:gd name="connsiteX47" fmla="*/ 2123136 w 4250872"/>
                <a:gd name="connsiteY47" fmla="*/ 2070417 h 4250872"/>
                <a:gd name="connsiteX48" fmla="*/ 2111763 w 4250872"/>
                <a:gd name="connsiteY48" fmla="*/ 2056493 h 4250872"/>
                <a:gd name="connsiteX49" fmla="*/ 2139011 w 4250872"/>
                <a:gd name="connsiteY49" fmla="*/ 1789123 h 4250872"/>
                <a:gd name="connsiteX50" fmla="*/ 1990827 w 4250872"/>
                <a:gd name="connsiteY50" fmla="*/ 1680281 h 4250872"/>
                <a:gd name="connsiteX51" fmla="*/ 2078030 w 4250872"/>
                <a:gd name="connsiteY51" fmla="*/ 1690745 h 4250872"/>
                <a:gd name="connsiteX52" fmla="*/ 2134228 w 4250872"/>
                <a:gd name="connsiteY52" fmla="*/ 1707399 h 4250872"/>
                <a:gd name="connsiteX53" fmla="*/ 2089421 w 4250872"/>
                <a:gd name="connsiteY53" fmla="*/ 1752206 h 4250872"/>
                <a:gd name="connsiteX54" fmla="*/ 2009960 w 4250872"/>
                <a:gd name="connsiteY54" fmla="*/ 2012100 h 4250872"/>
                <a:gd name="connsiteX55" fmla="*/ 2011910 w 4250872"/>
                <a:gd name="connsiteY55" fmla="*/ 2018676 h 4250872"/>
                <a:gd name="connsiteX56" fmla="*/ 2011910 w 4250872"/>
                <a:gd name="connsiteY56" fmla="*/ 2018677 h 4250872"/>
                <a:gd name="connsiteX57" fmla="*/ 2025853 w 4250872"/>
                <a:gd name="connsiteY57" fmla="*/ 2065723 h 4250872"/>
                <a:gd name="connsiteX58" fmla="*/ 2052340 w 4250872"/>
                <a:gd name="connsiteY58" fmla="*/ 2116056 h 4250872"/>
                <a:gd name="connsiteX59" fmla="*/ 2089419 w 4250872"/>
                <a:gd name="connsiteY59" fmla="*/ 2161450 h 4250872"/>
                <a:gd name="connsiteX60" fmla="*/ 2089422 w 4250872"/>
                <a:gd name="connsiteY60" fmla="*/ 2161452 h 4250872"/>
                <a:gd name="connsiteX61" fmla="*/ 2089424 w 4250872"/>
                <a:gd name="connsiteY61" fmla="*/ 2161455 h 4250872"/>
                <a:gd name="connsiteX62" fmla="*/ 2132715 w 4250872"/>
                <a:gd name="connsiteY62" fmla="*/ 2226648 h 4250872"/>
                <a:gd name="connsiteX63" fmla="*/ 2089423 w 4250872"/>
                <a:gd name="connsiteY63" fmla="*/ 2440168 h 4250872"/>
                <a:gd name="connsiteX64" fmla="*/ 2008575 w 4250872"/>
                <a:gd name="connsiteY64" fmla="*/ 2521016 h 4250872"/>
                <a:gd name="connsiteX65" fmla="*/ 1939815 w 4250872"/>
                <a:gd name="connsiteY65" fmla="*/ 2484833 h 4250872"/>
                <a:gd name="connsiteX66" fmla="*/ 1844168 w 4250872"/>
                <a:gd name="connsiteY66" fmla="*/ 2406704 h 4250872"/>
                <a:gd name="connsiteX67" fmla="*/ 1766040 w 4250872"/>
                <a:gd name="connsiteY67" fmla="*/ 2311058 h 4250872"/>
                <a:gd name="connsiteX68" fmla="*/ 1729857 w 4250872"/>
                <a:gd name="connsiteY68" fmla="*/ 2242300 h 4250872"/>
                <a:gd name="connsiteX69" fmla="*/ 1710234 w 4250872"/>
                <a:gd name="connsiteY69" fmla="*/ 2205009 h 4250872"/>
                <a:gd name="connsiteX70" fmla="*/ 1693404 w 4250872"/>
                <a:gd name="connsiteY70" fmla="*/ 2148223 h 4250872"/>
                <a:gd name="connsiteX71" fmla="*/ 1693403 w 4250872"/>
                <a:gd name="connsiteY71" fmla="*/ 2148224 h 4250872"/>
                <a:gd name="connsiteX72" fmla="*/ 1676749 w 4250872"/>
                <a:gd name="connsiteY72" fmla="*/ 2092027 h 4250872"/>
                <a:gd name="connsiteX73" fmla="*/ 1710233 w 4250872"/>
                <a:gd name="connsiteY73" fmla="*/ 1746141 h 4250872"/>
                <a:gd name="connsiteX74" fmla="*/ 1717788 w 4250872"/>
                <a:gd name="connsiteY74" fmla="*/ 1731782 h 4250872"/>
                <a:gd name="connsiteX75" fmla="*/ 1732144 w 4250872"/>
                <a:gd name="connsiteY75" fmla="*/ 1724228 h 4250872"/>
                <a:gd name="connsiteX76" fmla="*/ 1990827 w 4250872"/>
                <a:gd name="connsiteY76" fmla="*/ 1680281 h 4250872"/>
                <a:gd name="connsiteX77" fmla="*/ 2855175 w 4250872"/>
                <a:gd name="connsiteY77" fmla="*/ 785987 h 4250872"/>
                <a:gd name="connsiteX78" fmla="*/ 3286305 w 4250872"/>
                <a:gd name="connsiteY78" fmla="*/ 964567 h 4250872"/>
                <a:gd name="connsiteX79" fmla="*/ 3286306 w 4250872"/>
                <a:gd name="connsiteY79" fmla="*/ 964566 h 4250872"/>
                <a:gd name="connsiteX80" fmla="*/ 3286306 w 4250872"/>
                <a:gd name="connsiteY80" fmla="*/ 1826826 h 4250872"/>
                <a:gd name="connsiteX81" fmla="*/ 2706427 w 4250872"/>
                <a:gd name="connsiteY81" fmla="*/ 2406705 h 4250872"/>
                <a:gd name="connsiteX82" fmla="*/ 2632339 w 4250872"/>
                <a:gd name="connsiteY82" fmla="*/ 2467223 h 4250872"/>
                <a:gd name="connsiteX83" fmla="*/ 2643060 w 4250872"/>
                <a:gd name="connsiteY83" fmla="*/ 2431050 h 4250872"/>
                <a:gd name="connsiteX84" fmla="*/ 2643060 w 4250872"/>
                <a:gd name="connsiteY84" fmla="*/ 2162892 h 4250872"/>
                <a:gd name="connsiteX85" fmla="*/ 2609722 w 4250872"/>
                <a:gd name="connsiteY85" fmla="*/ 2050399 h 4250872"/>
                <a:gd name="connsiteX86" fmla="*/ 3046620 w 4250872"/>
                <a:gd name="connsiteY86" fmla="*/ 1613500 h 4250872"/>
                <a:gd name="connsiteX87" fmla="*/ 3046620 w 4250872"/>
                <a:gd name="connsiteY87" fmla="*/ 1204254 h 4250872"/>
                <a:gd name="connsiteX88" fmla="*/ 2637374 w 4250872"/>
                <a:gd name="connsiteY88" fmla="*/ 1204254 h 4250872"/>
                <a:gd name="connsiteX89" fmla="*/ 2200475 w 4250872"/>
                <a:gd name="connsiteY89" fmla="*/ 1641152 h 4250872"/>
                <a:gd name="connsiteX90" fmla="*/ 2200474 w 4250872"/>
                <a:gd name="connsiteY90" fmla="*/ 1641151 h 4250872"/>
                <a:gd name="connsiteX91" fmla="*/ 2134228 w 4250872"/>
                <a:gd name="connsiteY91" fmla="*/ 1707398 h 4250872"/>
                <a:gd name="connsiteX92" fmla="*/ 2078029 w 4250872"/>
                <a:gd name="connsiteY92" fmla="*/ 1690744 h 4250872"/>
                <a:gd name="connsiteX93" fmla="*/ 1732143 w 4250872"/>
                <a:gd name="connsiteY93" fmla="*/ 1724227 h 4250872"/>
                <a:gd name="connsiteX94" fmla="*/ 1717787 w 4250872"/>
                <a:gd name="connsiteY94" fmla="*/ 1731781 h 4250872"/>
                <a:gd name="connsiteX95" fmla="*/ 1766039 w 4250872"/>
                <a:gd name="connsiteY95" fmla="*/ 1640092 h 4250872"/>
                <a:gd name="connsiteX96" fmla="*/ 1783649 w 4250872"/>
                <a:gd name="connsiteY96" fmla="*/ 1618534 h 4250872"/>
                <a:gd name="connsiteX97" fmla="*/ 1783651 w 4250872"/>
                <a:gd name="connsiteY97" fmla="*/ 1618533 h 4250872"/>
                <a:gd name="connsiteX98" fmla="*/ 1844168 w 4250872"/>
                <a:gd name="connsiteY98" fmla="*/ 1544446 h 4250872"/>
                <a:gd name="connsiteX99" fmla="*/ 2424045 w 4250872"/>
                <a:gd name="connsiteY99" fmla="*/ 964567 h 4250872"/>
                <a:gd name="connsiteX100" fmla="*/ 2855175 w 4250872"/>
                <a:gd name="connsiteY100" fmla="*/ 785987 h 4250872"/>
                <a:gd name="connsiteX101" fmla="*/ 2125435 w 4250872"/>
                <a:gd name="connsiteY101" fmla="*/ 266463 h 4250872"/>
                <a:gd name="connsiteX102" fmla="*/ 266463 w 4250872"/>
                <a:gd name="connsiteY102" fmla="*/ 2125435 h 4250872"/>
                <a:gd name="connsiteX103" fmla="*/ 2125435 w 4250872"/>
                <a:gd name="connsiteY103" fmla="*/ 3984407 h 4250872"/>
                <a:gd name="connsiteX104" fmla="*/ 3984407 w 4250872"/>
                <a:gd name="connsiteY104" fmla="*/ 2125435 h 4250872"/>
                <a:gd name="connsiteX105" fmla="*/ 2125435 w 4250872"/>
                <a:gd name="connsiteY105" fmla="*/ 266463 h 4250872"/>
                <a:gd name="connsiteX106" fmla="*/ 2125436 w 4250872"/>
                <a:gd name="connsiteY106" fmla="*/ 0 h 4250872"/>
                <a:gd name="connsiteX107" fmla="*/ 4250872 w 4250872"/>
                <a:gd name="connsiteY107" fmla="*/ 2125436 h 4250872"/>
                <a:gd name="connsiteX108" fmla="*/ 2125436 w 4250872"/>
                <a:gd name="connsiteY108" fmla="*/ 4250872 h 4250872"/>
                <a:gd name="connsiteX109" fmla="*/ 0 w 4250872"/>
                <a:gd name="connsiteY109" fmla="*/ 2125436 h 4250872"/>
                <a:gd name="connsiteX110" fmla="*/ 2125436 w 4250872"/>
                <a:gd name="connsiteY110" fmla="*/ 0 h 42508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</a:cxnLst>
              <a:rect l="l" t="t" r="r" b="b"/>
              <a:pathLst>
                <a:path w="4250872" h="4250872">
                  <a:moveTo>
                    <a:pt x="2123136" y="2070418"/>
                  </a:moveTo>
                  <a:lnTo>
                    <a:pt x="2154685" y="2096189"/>
                  </a:lnTo>
                  <a:lnTo>
                    <a:pt x="2170560" y="2115622"/>
                  </a:lnTo>
                  <a:lnTo>
                    <a:pt x="2139010" y="2089852"/>
                  </a:lnTo>
                  <a:close/>
                  <a:moveTo>
                    <a:pt x="1601747" y="1799924"/>
                  </a:moveTo>
                  <a:lnTo>
                    <a:pt x="1590811" y="1836827"/>
                  </a:lnTo>
                  <a:cubicBezTo>
                    <a:pt x="1573677" y="1925326"/>
                    <a:pt x="1573677" y="2016487"/>
                    <a:pt x="1590811" y="2104985"/>
                  </a:cubicBezTo>
                  <a:lnTo>
                    <a:pt x="1624149" y="2217478"/>
                  </a:lnTo>
                  <a:lnTo>
                    <a:pt x="1202591" y="2639037"/>
                  </a:lnTo>
                  <a:cubicBezTo>
                    <a:pt x="1089580" y="2752047"/>
                    <a:pt x="1089580" y="2935273"/>
                    <a:pt x="1202591" y="3048283"/>
                  </a:cubicBezTo>
                  <a:cubicBezTo>
                    <a:pt x="1315601" y="3161294"/>
                    <a:pt x="1498827" y="3161294"/>
                    <a:pt x="1611837" y="3048283"/>
                  </a:cubicBezTo>
                  <a:lnTo>
                    <a:pt x="2033396" y="2626725"/>
                  </a:lnTo>
                  <a:lnTo>
                    <a:pt x="2102651" y="2557470"/>
                  </a:lnTo>
                  <a:lnTo>
                    <a:pt x="2158846" y="2574124"/>
                  </a:lnTo>
                  <a:cubicBezTo>
                    <a:pt x="2274142" y="2596446"/>
                    <a:pt x="2394638" y="2585286"/>
                    <a:pt x="2504731" y="2540640"/>
                  </a:cubicBezTo>
                  <a:lnTo>
                    <a:pt x="2519089" y="2533084"/>
                  </a:lnTo>
                  <a:lnTo>
                    <a:pt x="2470838" y="2624776"/>
                  </a:lnTo>
                  <a:lnTo>
                    <a:pt x="2450947" y="2649129"/>
                  </a:lnTo>
                  <a:lnTo>
                    <a:pt x="2392710" y="2720423"/>
                  </a:lnTo>
                  <a:lnTo>
                    <a:pt x="1826826" y="3286306"/>
                  </a:lnTo>
                  <a:cubicBezTo>
                    <a:pt x="1618483" y="3494650"/>
                    <a:pt x="1296872" y="3520693"/>
                    <a:pt x="1060213" y="3364435"/>
                  </a:cubicBezTo>
                  <a:lnTo>
                    <a:pt x="964566" y="3286306"/>
                  </a:lnTo>
                  <a:lnTo>
                    <a:pt x="886438" y="3190660"/>
                  </a:lnTo>
                  <a:cubicBezTo>
                    <a:pt x="730181" y="2954001"/>
                    <a:pt x="756224" y="2632390"/>
                    <a:pt x="964567" y="2424047"/>
                  </a:cubicBezTo>
                  <a:lnTo>
                    <a:pt x="1530449" y="1858164"/>
                  </a:lnTo>
                  <a:close/>
                  <a:moveTo>
                    <a:pt x="2199462" y="1728672"/>
                  </a:moveTo>
                  <a:lnTo>
                    <a:pt x="2297062" y="1780034"/>
                  </a:lnTo>
                  <a:cubicBezTo>
                    <a:pt x="2330871" y="1802356"/>
                    <a:pt x="2362946" y="1828400"/>
                    <a:pt x="2392709" y="1858163"/>
                  </a:cubicBezTo>
                  <a:lnTo>
                    <a:pt x="2392710" y="1858162"/>
                  </a:lnTo>
                  <a:cubicBezTo>
                    <a:pt x="2422473" y="1887925"/>
                    <a:pt x="2448517" y="1920000"/>
                    <a:pt x="2470839" y="1953809"/>
                  </a:cubicBezTo>
                  <a:lnTo>
                    <a:pt x="2507023" y="2022568"/>
                  </a:lnTo>
                  <a:lnTo>
                    <a:pt x="2526645" y="2059857"/>
                  </a:lnTo>
                  <a:lnTo>
                    <a:pt x="2543475" y="2116644"/>
                  </a:lnTo>
                  <a:lnTo>
                    <a:pt x="2560128" y="2172840"/>
                  </a:lnTo>
                  <a:cubicBezTo>
                    <a:pt x="2582450" y="2288135"/>
                    <a:pt x="2571290" y="2408632"/>
                    <a:pt x="2526644" y="2518725"/>
                  </a:cubicBezTo>
                  <a:lnTo>
                    <a:pt x="2519089" y="2533083"/>
                  </a:lnTo>
                  <a:lnTo>
                    <a:pt x="2504731" y="2540638"/>
                  </a:lnTo>
                  <a:cubicBezTo>
                    <a:pt x="2394638" y="2585284"/>
                    <a:pt x="2274141" y="2596444"/>
                    <a:pt x="2158846" y="2574122"/>
                  </a:cubicBezTo>
                  <a:lnTo>
                    <a:pt x="2102651" y="2557468"/>
                  </a:lnTo>
                  <a:lnTo>
                    <a:pt x="2154685" y="2505434"/>
                  </a:lnTo>
                  <a:cubicBezTo>
                    <a:pt x="2225316" y="2434803"/>
                    <a:pt x="2251803" y="2336743"/>
                    <a:pt x="2234146" y="2245541"/>
                  </a:cubicBezTo>
                  <a:lnTo>
                    <a:pt x="2232196" y="2238963"/>
                  </a:lnTo>
                  <a:lnTo>
                    <a:pt x="2218254" y="2191917"/>
                  </a:lnTo>
                  <a:cubicBezTo>
                    <a:pt x="2211190" y="2174499"/>
                    <a:pt x="2202361" y="2157630"/>
                    <a:pt x="2191767" y="2141583"/>
                  </a:cubicBezTo>
                  <a:lnTo>
                    <a:pt x="2170560" y="2115620"/>
                  </a:lnTo>
                  <a:lnTo>
                    <a:pt x="2170561" y="2115621"/>
                  </a:lnTo>
                  <a:lnTo>
                    <a:pt x="2154686" y="2096188"/>
                  </a:lnTo>
                  <a:lnTo>
                    <a:pt x="2123136" y="2070417"/>
                  </a:lnTo>
                  <a:lnTo>
                    <a:pt x="2111763" y="2056493"/>
                  </a:lnTo>
                  <a:cubicBezTo>
                    <a:pt x="2057265" y="1973954"/>
                    <a:pt x="2066348" y="1861786"/>
                    <a:pt x="2139011" y="1789123"/>
                  </a:cubicBezTo>
                  <a:close/>
                  <a:moveTo>
                    <a:pt x="1990827" y="1680281"/>
                  </a:moveTo>
                  <a:cubicBezTo>
                    <a:pt x="2020057" y="1681676"/>
                    <a:pt x="2049206" y="1685164"/>
                    <a:pt x="2078030" y="1690745"/>
                  </a:cubicBezTo>
                  <a:lnTo>
                    <a:pt x="2134228" y="1707399"/>
                  </a:lnTo>
                  <a:lnTo>
                    <a:pt x="2089421" y="1752206"/>
                  </a:lnTo>
                  <a:cubicBezTo>
                    <a:pt x="2018790" y="1822838"/>
                    <a:pt x="1992303" y="1920898"/>
                    <a:pt x="2009960" y="2012100"/>
                  </a:cubicBezTo>
                  <a:lnTo>
                    <a:pt x="2011910" y="2018676"/>
                  </a:lnTo>
                  <a:lnTo>
                    <a:pt x="2011910" y="2018677"/>
                  </a:lnTo>
                  <a:lnTo>
                    <a:pt x="2025853" y="2065723"/>
                  </a:lnTo>
                  <a:cubicBezTo>
                    <a:pt x="2032916" y="2083141"/>
                    <a:pt x="2041745" y="2100010"/>
                    <a:pt x="2052340" y="2116056"/>
                  </a:cubicBezTo>
                  <a:lnTo>
                    <a:pt x="2089419" y="2161450"/>
                  </a:lnTo>
                  <a:lnTo>
                    <a:pt x="2089422" y="2161452"/>
                  </a:lnTo>
                  <a:lnTo>
                    <a:pt x="2089424" y="2161455"/>
                  </a:lnTo>
                  <a:lnTo>
                    <a:pt x="2132715" y="2226648"/>
                  </a:lnTo>
                  <a:cubicBezTo>
                    <a:pt x="2161577" y="2297821"/>
                    <a:pt x="2147146" y="2382444"/>
                    <a:pt x="2089423" y="2440168"/>
                  </a:cubicBezTo>
                  <a:lnTo>
                    <a:pt x="2008575" y="2521016"/>
                  </a:lnTo>
                  <a:lnTo>
                    <a:pt x="1939815" y="2484833"/>
                  </a:lnTo>
                  <a:lnTo>
                    <a:pt x="1844168" y="2406704"/>
                  </a:lnTo>
                  <a:lnTo>
                    <a:pt x="1766040" y="2311058"/>
                  </a:lnTo>
                  <a:lnTo>
                    <a:pt x="1729857" y="2242300"/>
                  </a:lnTo>
                  <a:lnTo>
                    <a:pt x="1710234" y="2205009"/>
                  </a:lnTo>
                  <a:lnTo>
                    <a:pt x="1693404" y="2148223"/>
                  </a:lnTo>
                  <a:lnTo>
                    <a:pt x="1693403" y="2148224"/>
                  </a:lnTo>
                  <a:lnTo>
                    <a:pt x="1676749" y="2092027"/>
                  </a:lnTo>
                  <a:cubicBezTo>
                    <a:pt x="1654427" y="1976732"/>
                    <a:pt x="1665588" y="1856235"/>
                    <a:pt x="1710233" y="1746141"/>
                  </a:cubicBezTo>
                  <a:lnTo>
                    <a:pt x="1717788" y="1731782"/>
                  </a:lnTo>
                  <a:lnTo>
                    <a:pt x="1732144" y="1724228"/>
                  </a:lnTo>
                  <a:cubicBezTo>
                    <a:pt x="1814715" y="1690745"/>
                    <a:pt x="1903137" y="1676096"/>
                    <a:pt x="1990827" y="1680281"/>
                  </a:cubicBezTo>
                  <a:close/>
                  <a:moveTo>
                    <a:pt x="2855175" y="785987"/>
                  </a:moveTo>
                  <a:cubicBezTo>
                    <a:pt x="3011213" y="785987"/>
                    <a:pt x="3167252" y="845514"/>
                    <a:pt x="3286305" y="964567"/>
                  </a:cubicBezTo>
                  <a:lnTo>
                    <a:pt x="3286306" y="964566"/>
                  </a:lnTo>
                  <a:cubicBezTo>
                    <a:pt x="3524413" y="1202673"/>
                    <a:pt x="3524413" y="1588720"/>
                    <a:pt x="3286306" y="1826826"/>
                  </a:cubicBezTo>
                  <a:lnTo>
                    <a:pt x="2706427" y="2406705"/>
                  </a:lnTo>
                  <a:lnTo>
                    <a:pt x="2632339" y="2467223"/>
                  </a:lnTo>
                  <a:lnTo>
                    <a:pt x="2643060" y="2431050"/>
                  </a:lnTo>
                  <a:cubicBezTo>
                    <a:pt x="2660194" y="2342552"/>
                    <a:pt x="2660194" y="2251391"/>
                    <a:pt x="2643060" y="2162892"/>
                  </a:cubicBezTo>
                  <a:lnTo>
                    <a:pt x="2609722" y="2050399"/>
                  </a:lnTo>
                  <a:lnTo>
                    <a:pt x="3046620" y="1613500"/>
                  </a:lnTo>
                  <a:cubicBezTo>
                    <a:pt x="3159631" y="1500489"/>
                    <a:pt x="3159631" y="1317264"/>
                    <a:pt x="3046620" y="1204254"/>
                  </a:cubicBezTo>
                  <a:cubicBezTo>
                    <a:pt x="2933609" y="1091243"/>
                    <a:pt x="2750384" y="1091243"/>
                    <a:pt x="2637374" y="1204254"/>
                  </a:cubicBezTo>
                  <a:lnTo>
                    <a:pt x="2200475" y="1641152"/>
                  </a:lnTo>
                  <a:lnTo>
                    <a:pt x="2200474" y="1641151"/>
                  </a:lnTo>
                  <a:lnTo>
                    <a:pt x="2134228" y="1707398"/>
                  </a:lnTo>
                  <a:lnTo>
                    <a:pt x="2078029" y="1690744"/>
                  </a:lnTo>
                  <a:cubicBezTo>
                    <a:pt x="1962734" y="1668422"/>
                    <a:pt x="1842238" y="1679582"/>
                    <a:pt x="1732143" y="1724227"/>
                  </a:cubicBezTo>
                  <a:lnTo>
                    <a:pt x="1717787" y="1731781"/>
                  </a:lnTo>
                  <a:lnTo>
                    <a:pt x="1766039" y="1640092"/>
                  </a:lnTo>
                  <a:lnTo>
                    <a:pt x="1783649" y="1618534"/>
                  </a:lnTo>
                  <a:lnTo>
                    <a:pt x="1783651" y="1618533"/>
                  </a:lnTo>
                  <a:lnTo>
                    <a:pt x="1844168" y="1544446"/>
                  </a:lnTo>
                  <a:lnTo>
                    <a:pt x="2424045" y="964567"/>
                  </a:lnTo>
                  <a:cubicBezTo>
                    <a:pt x="2543099" y="845514"/>
                    <a:pt x="2699137" y="785987"/>
                    <a:pt x="2855175" y="785987"/>
                  </a:cubicBezTo>
                  <a:close/>
                  <a:moveTo>
                    <a:pt x="2125435" y="266463"/>
                  </a:moveTo>
                  <a:cubicBezTo>
                    <a:pt x="1098753" y="266463"/>
                    <a:pt x="266463" y="1098753"/>
                    <a:pt x="266463" y="2125435"/>
                  </a:cubicBezTo>
                  <a:cubicBezTo>
                    <a:pt x="266463" y="3152117"/>
                    <a:pt x="1098753" y="3984407"/>
                    <a:pt x="2125435" y="3984407"/>
                  </a:cubicBezTo>
                  <a:cubicBezTo>
                    <a:pt x="3152117" y="3984407"/>
                    <a:pt x="3984407" y="3152117"/>
                    <a:pt x="3984407" y="2125435"/>
                  </a:cubicBezTo>
                  <a:cubicBezTo>
                    <a:pt x="3984407" y="1098753"/>
                    <a:pt x="3152117" y="266463"/>
                    <a:pt x="2125435" y="266463"/>
                  </a:cubicBezTo>
                  <a:close/>
                  <a:moveTo>
                    <a:pt x="2125436" y="0"/>
                  </a:moveTo>
                  <a:cubicBezTo>
                    <a:pt x="3299282" y="0"/>
                    <a:pt x="4250872" y="951590"/>
                    <a:pt x="4250872" y="2125436"/>
                  </a:cubicBezTo>
                  <a:cubicBezTo>
                    <a:pt x="4250872" y="3299282"/>
                    <a:pt x="3299282" y="4250872"/>
                    <a:pt x="2125436" y="4250872"/>
                  </a:cubicBezTo>
                  <a:cubicBezTo>
                    <a:pt x="951590" y="4250872"/>
                    <a:pt x="0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lose/>
                </a:path>
              </a:pathLst>
            </a:custGeom>
            <a:solidFill>
              <a:schemeClr val="bg1"/>
            </a:solidFill>
            <a:ln w="25400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36" name="Agrupar 335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00000000-0008-0000-0100-000050010000}"/>
              </a:ext>
            </a:extLst>
          </xdr:cNvPr>
          <xdr:cNvGrpSpPr/>
        </xdr:nvGrpSpPr>
        <xdr:grpSpPr>
          <a:xfrm>
            <a:off x="295275" y="125041"/>
            <a:ext cx="2674917" cy="243680"/>
            <a:chOff x="295275" y="125041"/>
            <a:chExt cx="2674917" cy="243680"/>
          </a:xfrm>
        </xdr:grpSpPr>
        <xdr:grpSp>
          <xdr:nvGrpSpPr>
            <xdr:cNvPr id="337" name="Agrupar 336">
              <a:extLst>
                <a:ext uri="{FF2B5EF4-FFF2-40B4-BE49-F238E27FC236}">
                  <a16:creationId xmlns:a16="http://schemas.microsoft.com/office/drawing/2014/main" id="{00000000-0008-0000-0100-000051010000}"/>
                </a:ext>
              </a:extLst>
            </xdr:cNvPr>
            <xdr:cNvGrpSpPr/>
          </xdr:nvGrpSpPr>
          <xdr:grpSpPr>
            <a:xfrm>
              <a:off x="295275" y="125041"/>
              <a:ext cx="2674917" cy="243680"/>
              <a:chOff x="370665" y="105468"/>
              <a:chExt cx="2671648" cy="244391"/>
            </a:xfrm>
          </xdr:grpSpPr>
          <xdr:sp macro="" textlink="">
            <xdr:nvSpPr>
              <xdr:cNvPr id="339" name="Retângulo: Cantos Arredondados 338">
                <a:extLst>
                  <a:ext uri="{FF2B5EF4-FFF2-40B4-BE49-F238E27FC236}">
                    <a16:creationId xmlns:a16="http://schemas.microsoft.com/office/drawing/2014/main" id="{00000000-0008-0000-0100-000053010000}"/>
                  </a:ext>
                </a:extLst>
              </xdr:cNvPr>
              <xdr:cNvSpPr/>
            </xdr:nvSpPr>
            <xdr:spPr>
              <a:xfrm>
                <a:off x="1199865" y="105468"/>
                <a:ext cx="1842448" cy="244391"/>
              </a:xfrm>
              <a:prstGeom prst="roundRect">
                <a:avLst>
                  <a:gd name="adj" fmla="val 50000"/>
                </a:avLst>
              </a:prstGeom>
              <a:noFill/>
              <a:ln w="285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144000" rIns="0" bIns="72000" rtlCol="0" anchor="ctr"/>
              <a:lstStyle/>
              <a:p>
                <a:pPr marL="0" indent="0" algn="ctr"/>
                <a:r>
                  <a:rPr lang="pt-BR" sz="105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rPr>
                  <a:t>         Treliça Modelo A</a:t>
                </a:r>
              </a:p>
            </xdr:txBody>
          </xdr:sp>
          <xdr:grpSp>
            <xdr:nvGrpSpPr>
              <xdr:cNvPr id="340" name="Agrupar 339">
                <a:extLst>
                  <a:ext uri="{FF2B5EF4-FFF2-40B4-BE49-F238E27FC236}">
                    <a16:creationId xmlns:a16="http://schemas.microsoft.com/office/drawing/2014/main" id="{00000000-0008-0000-0100-000054010000}"/>
                  </a:ext>
                </a:extLst>
              </xdr:cNvPr>
              <xdr:cNvGrpSpPr/>
            </xdr:nvGrpSpPr>
            <xdr:grpSpPr>
              <a:xfrm>
                <a:off x="370665" y="105468"/>
                <a:ext cx="1197484" cy="244391"/>
                <a:chOff x="1941892" y="104252"/>
                <a:chExt cx="1204439" cy="245585"/>
              </a:xfrm>
            </xdr:grpSpPr>
            <xdr:sp macro="" textlink="">
              <xdr:nvSpPr>
                <xdr:cNvPr id="341" name="Retângulo: Cantos Arredondados 340">
                  <a:extLst>
                    <a:ext uri="{FF2B5EF4-FFF2-40B4-BE49-F238E27FC236}">
                      <a16:creationId xmlns:a16="http://schemas.microsoft.com/office/drawing/2014/main" id="{00000000-0008-0000-0100-000055010000}"/>
                    </a:ext>
                  </a:extLst>
                </xdr:cNvPr>
                <xdr:cNvSpPr/>
              </xdr:nvSpPr>
              <xdr:spPr>
                <a:xfrm>
                  <a:off x="1941892" y="104252"/>
                  <a:ext cx="1204439" cy="245585"/>
                </a:xfrm>
                <a:prstGeom prst="roundRect">
                  <a:avLst>
                    <a:gd name="adj" fmla="val 50000"/>
                  </a:avLst>
                </a:prstGeom>
                <a:solidFill>
                  <a:schemeClr val="tx1">
                    <a:lumMod val="85000"/>
                    <a:lumOff val="15000"/>
                  </a:schemeClr>
                </a:solidFill>
                <a:ln w="28575">
                  <a:solidFill>
                    <a:schemeClr val="tx1">
                      <a:lumMod val="85000"/>
                      <a:lumOff val="15000"/>
                    </a:schemeClr>
                  </a:solidFill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144000" rIns="0" bIns="72000" rtlCol="0" anchor="ctr"/>
                <a:lstStyle/>
                <a:p>
                  <a:pPr marL="0" indent="0" algn="ctr"/>
                  <a:r>
                    <a:rPr lang="pt-BR" sz="1100">
                      <a:solidFill>
                        <a:schemeClr val="lt1"/>
                      </a:solidFill>
                      <a:latin typeface="Segoe UI Semibold" panose="020B0702040204020203" pitchFamily="34" charset="0"/>
                      <a:ea typeface="+mn-ea"/>
                      <a:cs typeface="Segoe UI Semibold" panose="020B0702040204020203" pitchFamily="34" charset="0"/>
                    </a:rPr>
                    <a:t>Menu Inicial</a:t>
                  </a:r>
                </a:p>
              </xdr:txBody>
            </xdr:sp>
            <xdr:sp macro="" textlink="">
              <xdr:nvSpPr>
                <xdr:cNvPr id="342" name="Forma Livre: Forma 341">
                  <a:extLst>
                    <a:ext uri="{FF2B5EF4-FFF2-40B4-BE49-F238E27FC236}">
                      <a16:creationId xmlns:a16="http://schemas.microsoft.com/office/drawing/2014/main" id="{00000000-0008-0000-0100-00005601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2017848" y="142345"/>
                  <a:ext cx="169596" cy="160423"/>
                </a:xfrm>
                <a:custGeom>
                  <a:avLst/>
                  <a:gdLst>
                    <a:gd name="connsiteX0" fmla="*/ 2207243 w 3579070"/>
                    <a:gd name="connsiteY0" fmla="*/ 3366545 h 3368926"/>
                    <a:gd name="connsiteX1" fmla="*/ 2535059 w 3579070"/>
                    <a:gd name="connsiteY1" fmla="*/ 3366545 h 3368926"/>
                    <a:gd name="connsiteX2" fmla="*/ 2523265 w 3579070"/>
                    <a:gd name="connsiteY2" fmla="*/ 3368926 h 3368926"/>
                    <a:gd name="connsiteX3" fmla="*/ 2219036 w 3579070"/>
                    <a:gd name="connsiteY3" fmla="*/ 3368926 h 3368926"/>
                    <a:gd name="connsiteX4" fmla="*/ 1789535 w 3579070"/>
                    <a:gd name="connsiteY4" fmla="*/ 0 h 3368926"/>
                    <a:gd name="connsiteX5" fmla="*/ 2012243 w 3579070"/>
                    <a:gd name="connsiteY5" fmla="*/ 92249 h 3368926"/>
                    <a:gd name="connsiteX6" fmla="*/ 2012247 w 3579070"/>
                    <a:gd name="connsiteY6" fmla="*/ 92254 h 3368926"/>
                    <a:gd name="connsiteX7" fmla="*/ 3486822 w 3579070"/>
                    <a:gd name="connsiteY7" fmla="*/ 1566828 h 3368926"/>
                    <a:gd name="connsiteX8" fmla="*/ 3486822 w 3579070"/>
                    <a:gd name="connsiteY8" fmla="*/ 2012243 h 3368926"/>
                    <a:gd name="connsiteX9" fmla="*/ 3203960 w 3579070"/>
                    <a:gd name="connsiteY9" fmla="*/ 2098726 h 3368926"/>
                    <a:gd name="connsiteX10" fmla="*/ 3147176 w 3579070"/>
                    <a:gd name="connsiteY10" fmla="*/ 2081898 h 3368926"/>
                    <a:gd name="connsiteX11" fmla="*/ 3147176 w 3579070"/>
                    <a:gd name="connsiteY11" fmla="*/ 2993894 h 3368926"/>
                    <a:gd name="connsiteX12" fmla="*/ 2774526 w 3579070"/>
                    <a:gd name="connsiteY12" fmla="*/ 3366544 h 3368926"/>
                    <a:gd name="connsiteX13" fmla="*/ 2535059 w 3579070"/>
                    <a:gd name="connsiteY13" fmla="*/ 3366544 h 3368926"/>
                    <a:gd name="connsiteX14" fmla="*/ 2207243 w 3579070"/>
                    <a:gd name="connsiteY14" fmla="*/ 3366544 h 3368926"/>
                    <a:gd name="connsiteX15" fmla="*/ 2182467 w 3579070"/>
                    <a:gd name="connsiteY15" fmla="*/ 3361542 h 3368926"/>
                    <a:gd name="connsiteX16" fmla="*/ 2132471 w 3579070"/>
                    <a:gd name="connsiteY16" fmla="*/ 3311546 h 3368926"/>
                    <a:gd name="connsiteX17" fmla="*/ 2127469 w 3579070"/>
                    <a:gd name="connsiteY17" fmla="*/ 3286771 h 3368926"/>
                    <a:gd name="connsiteX18" fmla="*/ 2127469 w 3579070"/>
                    <a:gd name="connsiteY18" fmla="*/ 3286772 h 3368926"/>
                    <a:gd name="connsiteX19" fmla="*/ 2125088 w 3579070"/>
                    <a:gd name="connsiteY19" fmla="*/ 3274978 h 3368926"/>
                    <a:gd name="connsiteX20" fmla="*/ 2125088 w 3579070"/>
                    <a:gd name="connsiteY20" fmla="*/ 3079022 h 3368926"/>
                    <a:gd name="connsiteX21" fmla="*/ 2126378 w 3579070"/>
                    <a:gd name="connsiteY21" fmla="*/ 3072633 h 3368926"/>
                    <a:gd name="connsiteX22" fmla="*/ 2126378 w 3579070"/>
                    <a:gd name="connsiteY22" fmla="*/ 2991827 h 3368926"/>
                    <a:gd name="connsiteX23" fmla="*/ 2127469 w 3579070"/>
                    <a:gd name="connsiteY23" fmla="*/ 2986423 h 3368926"/>
                    <a:gd name="connsiteX24" fmla="*/ 2127469 w 3579070"/>
                    <a:gd name="connsiteY24" fmla="*/ 2455209 h 3368926"/>
                    <a:gd name="connsiteX25" fmla="*/ 1962922 w 3579070"/>
                    <a:gd name="connsiteY25" fmla="*/ 2290662 h 3368926"/>
                    <a:gd name="connsiteX26" fmla="*/ 1619710 w 3579070"/>
                    <a:gd name="connsiteY26" fmla="*/ 2290662 h 3368926"/>
                    <a:gd name="connsiteX27" fmla="*/ 1455163 w 3579070"/>
                    <a:gd name="connsiteY27" fmla="*/ 2455209 h 3368926"/>
                    <a:gd name="connsiteX28" fmla="*/ 1455163 w 3579070"/>
                    <a:gd name="connsiteY28" fmla="*/ 3067228 h 3368926"/>
                    <a:gd name="connsiteX29" fmla="*/ 1452782 w 3579070"/>
                    <a:gd name="connsiteY29" fmla="*/ 3055435 h 3368926"/>
                    <a:gd name="connsiteX30" fmla="*/ 1452782 w 3579070"/>
                    <a:gd name="connsiteY30" fmla="*/ 3055436 h 3368926"/>
                    <a:gd name="connsiteX31" fmla="*/ 1455163 w 3579070"/>
                    <a:gd name="connsiteY31" fmla="*/ 3067229 h 3368926"/>
                    <a:gd name="connsiteX32" fmla="*/ 1457544 w 3579070"/>
                    <a:gd name="connsiteY32" fmla="*/ 3079022 h 3368926"/>
                    <a:gd name="connsiteX33" fmla="*/ 1457544 w 3579070"/>
                    <a:gd name="connsiteY33" fmla="*/ 3274978 h 3368926"/>
                    <a:gd name="connsiteX34" fmla="*/ 1455163 w 3579070"/>
                    <a:gd name="connsiteY34" fmla="*/ 3286772 h 3368926"/>
                    <a:gd name="connsiteX35" fmla="*/ 1450161 w 3579070"/>
                    <a:gd name="connsiteY35" fmla="*/ 3311547 h 3368926"/>
                    <a:gd name="connsiteX36" fmla="*/ 1400165 w 3579070"/>
                    <a:gd name="connsiteY36" fmla="*/ 3361543 h 3368926"/>
                    <a:gd name="connsiteX37" fmla="*/ 1375389 w 3579070"/>
                    <a:gd name="connsiteY37" fmla="*/ 3366545 h 3368926"/>
                    <a:gd name="connsiteX38" fmla="*/ 1363596 w 3579070"/>
                    <a:gd name="connsiteY38" fmla="*/ 3368926 h 3368926"/>
                    <a:gd name="connsiteX39" fmla="*/ 1059367 w 3579070"/>
                    <a:gd name="connsiteY39" fmla="*/ 3368926 h 3368926"/>
                    <a:gd name="connsiteX40" fmla="*/ 1047573 w 3579070"/>
                    <a:gd name="connsiteY40" fmla="*/ 3366545 h 3368926"/>
                    <a:gd name="connsiteX41" fmla="*/ 1047568 w 3579070"/>
                    <a:gd name="connsiteY41" fmla="*/ 3366544 h 3368926"/>
                    <a:gd name="connsiteX42" fmla="*/ 804543 w 3579070"/>
                    <a:gd name="connsiteY42" fmla="*/ 3366544 h 3368926"/>
                    <a:gd name="connsiteX43" fmla="*/ 431893 w 3579070"/>
                    <a:gd name="connsiteY43" fmla="*/ 2993894 h 3368926"/>
                    <a:gd name="connsiteX44" fmla="*/ 431893 w 3579070"/>
                    <a:gd name="connsiteY44" fmla="*/ 2081898 h 3368926"/>
                    <a:gd name="connsiteX45" fmla="*/ 375110 w 3579070"/>
                    <a:gd name="connsiteY45" fmla="*/ 2098726 h 3368926"/>
                    <a:gd name="connsiteX46" fmla="*/ 92248 w 3579070"/>
                    <a:gd name="connsiteY46" fmla="*/ 2012243 h 3368926"/>
                    <a:gd name="connsiteX47" fmla="*/ 92248 w 3579070"/>
                    <a:gd name="connsiteY47" fmla="*/ 1566828 h 3368926"/>
                    <a:gd name="connsiteX48" fmla="*/ 1566823 w 3579070"/>
                    <a:gd name="connsiteY48" fmla="*/ 92254 h 3368926"/>
                    <a:gd name="connsiteX49" fmla="*/ 1566827 w 3579070"/>
                    <a:gd name="connsiteY49" fmla="*/ 92249 h 3368926"/>
                    <a:gd name="connsiteX50" fmla="*/ 1729380 w 3579070"/>
                    <a:gd name="connsiteY50" fmla="*/ 5766 h 3368926"/>
                    <a:gd name="connsiteX51" fmla="*/ 1784115 w 3579070"/>
                    <a:gd name="connsiteY51" fmla="*/ 520 h 336892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  <a:cxn ang="0">
                      <a:pos x="connsiteX51" y="connsiteY51"/>
                    </a:cxn>
                  </a:cxnLst>
                  <a:rect l="l" t="t" r="r" b="b"/>
                  <a:pathLst>
                    <a:path w="3579070" h="3368926">
                      <a:moveTo>
                        <a:pt x="2207243" y="3366545"/>
                      </a:moveTo>
                      <a:lnTo>
                        <a:pt x="2535059" y="3366545"/>
                      </a:lnTo>
                      <a:lnTo>
                        <a:pt x="2523265" y="3368926"/>
                      </a:lnTo>
                      <a:lnTo>
                        <a:pt x="2219036" y="3368926"/>
                      </a:lnTo>
                      <a:close/>
                      <a:moveTo>
                        <a:pt x="1789535" y="0"/>
                      </a:moveTo>
                      <a:cubicBezTo>
                        <a:pt x="1870140" y="0"/>
                        <a:pt x="1950744" y="30750"/>
                        <a:pt x="2012243" y="92249"/>
                      </a:cubicBezTo>
                      <a:lnTo>
                        <a:pt x="2012247" y="92254"/>
                      </a:lnTo>
                      <a:lnTo>
                        <a:pt x="3486822" y="1566828"/>
                      </a:lnTo>
                      <a:cubicBezTo>
                        <a:pt x="3609820" y="1689826"/>
                        <a:pt x="3609820" y="1889246"/>
                        <a:pt x="3486822" y="2012243"/>
                      </a:cubicBezTo>
                      <a:cubicBezTo>
                        <a:pt x="3409949" y="2089117"/>
                        <a:pt x="3303223" y="2117945"/>
                        <a:pt x="3203960" y="2098726"/>
                      </a:cubicBezTo>
                      <a:lnTo>
                        <a:pt x="3147176" y="2081898"/>
                      </a:lnTo>
                      <a:lnTo>
                        <a:pt x="3147176" y="2993894"/>
                      </a:lnTo>
                      <a:cubicBezTo>
                        <a:pt x="3147176" y="3199703"/>
                        <a:pt x="2980335" y="3366544"/>
                        <a:pt x="2774526" y="3366544"/>
                      </a:cubicBezTo>
                      <a:lnTo>
                        <a:pt x="2535059" y="3366544"/>
                      </a:lnTo>
                      <a:lnTo>
                        <a:pt x="2207243" y="3366544"/>
                      </a:lnTo>
                      <a:lnTo>
                        <a:pt x="2182467" y="3361542"/>
                      </a:lnTo>
                      <a:cubicBezTo>
                        <a:pt x="2159988" y="3352034"/>
                        <a:pt x="2141979" y="3334026"/>
                        <a:pt x="2132471" y="3311546"/>
                      </a:cubicBezTo>
                      <a:lnTo>
                        <a:pt x="2127469" y="3286771"/>
                      </a:lnTo>
                      <a:lnTo>
                        <a:pt x="2127469" y="3286772"/>
                      </a:lnTo>
                      <a:lnTo>
                        <a:pt x="2125088" y="3274978"/>
                      </a:lnTo>
                      <a:lnTo>
                        <a:pt x="2125088" y="3079022"/>
                      </a:lnTo>
                      <a:lnTo>
                        <a:pt x="2126378" y="3072633"/>
                      </a:lnTo>
                      <a:lnTo>
                        <a:pt x="2126378" y="2991827"/>
                      </a:lnTo>
                      <a:lnTo>
                        <a:pt x="2127469" y="2986423"/>
                      </a:lnTo>
                      <a:lnTo>
                        <a:pt x="2127469" y="2455209"/>
                      </a:lnTo>
                      <a:cubicBezTo>
                        <a:pt x="2127469" y="2364332"/>
                        <a:pt x="2053799" y="2290662"/>
                        <a:pt x="1962922" y="2290662"/>
                      </a:cubicBezTo>
                      <a:lnTo>
                        <a:pt x="1619710" y="2290662"/>
                      </a:lnTo>
                      <a:cubicBezTo>
                        <a:pt x="1528833" y="2290662"/>
                        <a:pt x="1455163" y="2364332"/>
                        <a:pt x="1455163" y="2455209"/>
                      </a:cubicBezTo>
                      <a:lnTo>
                        <a:pt x="1455163" y="3067228"/>
                      </a:lnTo>
                      <a:lnTo>
                        <a:pt x="1452782" y="3055435"/>
                      </a:lnTo>
                      <a:lnTo>
                        <a:pt x="1452782" y="3055436"/>
                      </a:lnTo>
                      <a:lnTo>
                        <a:pt x="1455163" y="3067229"/>
                      </a:lnTo>
                      <a:lnTo>
                        <a:pt x="1457544" y="3079022"/>
                      </a:lnTo>
                      <a:lnTo>
                        <a:pt x="1457544" y="3274978"/>
                      </a:lnTo>
                      <a:lnTo>
                        <a:pt x="1455163" y="3286772"/>
                      </a:lnTo>
                      <a:lnTo>
                        <a:pt x="1450161" y="3311547"/>
                      </a:lnTo>
                      <a:cubicBezTo>
                        <a:pt x="1440653" y="3334027"/>
                        <a:pt x="1422644" y="3352035"/>
                        <a:pt x="1400165" y="3361543"/>
                      </a:cubicBezTo>
                      <a:lnTo>
                        <a:pt x="1375389" y="3366545"/>
                      </a:lnTo>
                      <a:lnTo>
                        <a:pt x="1363596" y="3368926"/>
                      </a:lnTo>
                      <a:lnTo>
                        <a:pt x="1059367" y="3368926"/>
                      </a:lnTo>
                      <a:lnTo>
                        <a:pt x="1047573" y="3366545"/>
                      </a:lnTo>
                      <a:lnTo>
                        <a:pt x="1047568" y="3366544"/>
                      </a:lnTo>
                      <a:lnTo>
                        <a:pt x="804543" y="3366544"/>
                      </a:lnTo>
                      <a:cubicBezTo>
                        <a:pt x="598734" y="3366544"/>
                        <a:pt x="431893" y="3199703"/>
                        <a:pt x="431893" y="2993894"/>
                      </a:cubicBezTo>
                      <a:lnTo>
                        <a:pt x="431893" y="2081898"/>
                      </a:lnTo>
                      <a:lnTo>
                        <a:pt x="375110" y="2098726"/>
                      </a:lnTo>
                      <a:cubicBezTo>
                        <a:pt x="275847" y="2117945"/>
                        <a:pt x="169121" y="2089117"/>
                        <a:pt x="92248" y="2012243"/>
                      </a:cubicBezTo>
                      <a:cubicBezTo>
                        <a:pt x="-30750" y="1889246"/>
                        <a:pt x="-30750" y="1689826"/>
                        <a:pt x="92248" y="1566828"/>
                      </a:cubicBezTo>
                      <a:lnTo>
                        <a:pt x="1566823" y="92254"/>
                      </a:lnTo>
                      <a:lnTo>
                        <a:pt x="1566827" y="92249"/>
                      </a:lnTo>
                      <a:cubicBezTo>
                        <a:pt x="1612951" y="46124"/>
                        <a:pt x="1669822" y="17297"/>
                        <a:pt x="1729380" y="5766"/>
                      </a:cubicBezTo>
                      <a:lnTo>
                        <a:pt x="1784115" y="520"/>
                      </a:lnTo>
                      <a:close/>
                    </a:path>
                  </a:pathLst>
                </a:custGeom>
                <a:noFill/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/>
                </a:p>
              </xdr:txBody>
            </xdr:sp>
          </xdr:grpSp>
        </xdr:grpSp>
        <xdr:sp macro="" textlink="">
          <xdr:nvSpPr>
            <xdr:cNvPr id="338" name="Forma Livre: Forma 337">
              <a:extLst>
                <a:ext uri="{FF2B5EF4-FFF2-40B4-BE49-F238E27FC236}">
                  <a16:creationId xmlns:a16="http://schemas.microsoft.com/office/drawing/2014/main" id="{00000000-0008-0000-0100-000052010000}"/>
                </a:ext>
              </a:extLst>
            </xdr:cNvPr>
            <xdr:cNvSpPr/>
          </xdr:nvSpPr>
          <xdr:spPr>
            <a:xfrm>
              <a:off x="1569244" y="190501"/>
              <a:ext cx="176212" cy="90310"/>
            </a:xfrm>
            <a:custGeom>
              <a:avLst/>
              <a:gdLst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53778 w 8618536"/>
                <a:gd name="connsiteY41" fmla="*/ 1609322 h 2668736"/>
                <a:gd name="connsiteX42" fmla="*/ 1865802 w 8618536"/>
                <a:gd name="connsiteY42" fmla="*/ 1609322 h 2668736"/>
                <a:gd name="connsiteX43" fmla="*/ 442396 w 8618536"/>
                <a:gd name="connsiteY43" fmla="*/ 2433210 h 2668736"/>
                <a:gd name="connsiteX44" fmla="*/ 1855398 w 8618536"/>
                <a:gd name="connsiteY44" fmla="*/ 2433210 h 2668736"/>
                <a:gd name="connsiteX45" fmla="*/ 1853778 w 8618536"/>
                <a:gd name="connsiteY45" fmla="*/ 2434185 h 2668736"/>
                <a:gd name="connsiteX46" fmla="*/ 2822946 w 8618536"/>
                <a:gd name="connsiteY46" fmla="*/ 2434185 h 2668736"/>
                <a:gd name="connsiteX47" fmla="*/ 2821326 w 8618536"/>
                <a:gd name="connsiteY47" fmla="*/ 2433210 h 2668736"/>
                <a:gd name="connsiteX48" fmla="*/ 4190999 w 8618536"/>
                <a:gd name="connsiteY48" fmla="*/ 2433210 h 2668736"/>
                <a:gd name="connsiteX49" fmla="*/ 4190999 w 8618536"/>
                <a:gd name="connsiteY49" fmla="*/ 2408443 h 2668736"/>
                <a:gd name="connsiteX50" fmla="*/ 2810382 w 8618536"/>
                <a:gd name="connsiteY50" fmla="*/ 1609322 h 2668736"/>
                <a:gd name="connsiteX51" fmla="*/ 2822946 w 8618536"/>
                <a:gd name="connsiteY51" fmla="*/ 1609322 h 2668736"/>
                <a:gd name="connsiteX52" fmla="*/ 2338362 w 8618536"/>
                <a:gd name="connsiteY52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10382 w 8618536"/>
                <a:gd name="connsiteY49" fmla="*/ 1609322 h 2668736"/>
                <a:gd name="connsiteX50" fmla="*/ 2822946 w 8618536"/>
                <a:gd name="connsiteY50" fmla="*/ 1609322 h 2668736"/>
                <a:gd name="connsiteX51" fmla="*/ 2338362 w 8618536"/>
                <a:gd name="connsiteY51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22946 w 8618536"/>
                <a:gd name="connsiteY49" fmla="*/ 1609322 h 2668736"/>
                <a:gd name="connsiteX50" fmla="*/ 2338362 w 8618536"/>
                <a:gd name="connsiteY50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4190999 w 8618536"/>
                <a:gd name="connsiteY47" fmla="*/ 2408443 h 2668736"/>
                <a:gd name="connsiteX48" fmla="*/ 2822946 w 8618536"/>
                <a:gd name="connsiteY48" fmla="*/ 1609322 h 2668736"/>
                <a:gd name="connsiteX49" fmla="*/ 2338362 w 8618536"/>
                <a:gd name="connsiteY49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86851 w 8618536"/>
                <a:gd name="connsiteY27" fmla="*/ 243956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62225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</a:cxnLst>
              <a:rect l="l" t="t" r="r" b="b"/>
              <a:pathLst>
                <a:path w="8618536" h="2668736">
                  <a:moveTo>
                    <a:pt x="4417215" y="0"/>
                  </a:moveTo>
                  <a:lnTo>
                    <a:pt x="8611683" y="2427820"/>
                  </a:lnTo>
                  <a:lnTo>
                    <a:pt x="8618088" y="2433210"/>
                  </a:lnTo>
                  <a:cubicBezTo>
                    <a:pt x="8618237" y="2509338"/>
                    <a:pt x="8618387" y="2585466"/>
                    <a:pt x="8618536" y="2661594"/>
                  </a:cubicBezTo>
                  <a:lnTo>
                    <a:pt x="6369626" y="2659212"/>
                  </a:lnTo>
                  <a:lnTo>
                    <a:pt x="6143624" y="2659212"/>
                  </a:lnTo>
                  <a:lnTo>
                    <a:pt x="4417001" y="2659212"/>
                  </a:lnTo>
                  <a:lnTo>
                    <a:pt x="4417001" y="2659213"/>
                  </a:lnTo>
                  <a:lnTo>
                    <a:pt x="4190999" y="2659213"/>
                  </a:lnTo>
                  <a:lnTo>
                    <a:pt x="4190999" y="2659212"/>
                  </a:lnTo>
                  <a:lnTo>
                    <a:pt x="0" y="2668736"/>
                  </a:lnTo>
                  <a:cubicBezTo>
                    <a:pt x="1226" y="2590227"/>
                    <a:pt x="2451" y="2511719"/>
                    <a:pt x="3677" y="2433210"/>
                  </a:cubicBezTo>
                  <a:lnTo>
                    <a:pt x="558" y="2427822"/>
                  </a:lnTo>
                  <a:lnTo>
                    <a:pt x="4190999" y="2333"/>
                  </a:lnTo>
                  <a:lnTo>
                    <a:pt x="4190999" y="5"/>
                  </a:lnTo>
                  <a:lnTo>
                    <a:pt x="4195022" y="5"/>
                  </a:lnTo>
                  <a:cubicBezTo>
                    <a:pt x="4195024" y="4"/>
                    <a:pt x="4195025" y="3"/>
                    <a:pt x="4195027" y="2"/>
                  </a:cubicBezTo>
                  <a:cubicBezTo>
                    <a:pt x="4195028" y="3"/>
                    <a:pt x="4195028" y="4"/>
                    <a:pt x="4195029" y="5"/>
                  </a:cubicBezTo>
                  <a:lnTo>
                    <a:pt x="4417001" y="5"/>
                  </a:lnTo>
                  <a:lnTo>
                    <a:pt x="4417001" y="369"/>
                  </a:lnTo>
                  <a:lnTo>
                    <a:pt x="4417215" y="0"/>
                  </a:lnTo>
                  <a:close/>
                  <a:moveTo>
                    <a:pt x="4417001" y="261007"/>
                  </a:moveTo>
                  <a:cubicBezTo>
                    <a:pt x="4414884" y="924111"/>
                    <a:pt x="4412768" y="1599121"/>
                    <a:pt x="4410651" y="2262225"/>
                  </a:cubicBezTo>
                  <a:lnTo>
                    <a:pt x="6044928" y="1203275"/>
                  </a:lnTo>
                  <a:lnTo>
                    <a:pt x="4417001" y="261007"/>
                  </a:lnTo>
                  <a:close/>
                  <a:moveTo>
                    <a:pt x="6268587" y="1324844"/>
                  </a:moveTo>
                  <a:lnTo>
                    <a:pt x="5828997" y="1589390"/>
                  </a:lnTo>
                  <a:lnTo>
                    <a:pt x="4524951" y="2441941"/>
                  </a:lnTo>
                  <a:lnTo>
                    <a:pt x="5785622" y="2433210"/>
                  </a:lnTo>
                  <a:lnTo>
                    <a:pt x="5784003" y="2434184"/>
                  </a:lnTo>
                  <a:lnTo>
                    <a:pt x="6753171" y="2434184"/>
                  </a:lnTo>
                  <a:lnTo>
                    <a:pt x="6751553" y="2433210"/>
                  </a:lnTo>
                  <a:lnTo>
                    <a:pt x="8169849" y="2433210"/>
                  </a:lnTo>
                  <a:lnTo>
                    <a:pt x="6611755" y="1531363"/>
                  </a:lnTo>
                  <a:lnTo>
                    <a:pt x="6268587" y="1324844"/>
                  </a:lnTo>
                  <a:close/>
                  <a:moveTo>
                    <a:pt x="4190999" y="263464"/>
                  </a:moveTo>
                  <a:lnTo>
                    <a:pt x="2563665" y="1205389"/>
                  </a:lnTo>
                  <a:lnTo>
                    <a:pt x="4187824" y="2252089"/>
                  </a:lnTo>
                  <a:cubicBezTo>
                    <a:pt x="4188882" y="1589214"/>
                    <a:pt x="4189941" y="926339"/>
                    <a:pt x="4190999" y="263464"/>
                  </a:cubicBezTo>
                  <a:close/>
                  <a:moveTo>
                    <a:pt x="2338362" y="1317699"/>
                  </a:moveTo>
                  <a:lnTo>
                    <a:pt x="1865802" y="1609322"/>
                  </a:lnTo>
                  <a:lnTo>
                    <a:pt x="442396" y="2433210"/>
                  </a:lnTo>
                  <a:lnTo>
                    <a:pt x="1855398" y="2433210"/>
                  </a:lnTo>
                  <a:lnTo>
                    <a:pt x="1853778" y="2434185"/>
                  </a:lnTo>
                  <a:lnTo>
                    <a:pt x="2822946" y="2434185"/>
                  </a:lnTo>
                  <a:lnTo>
                    <a:pt x="2821326" y="2433210"/>
                  </a:lnTo>
                  <a:lnTo>
                    <a:pt x="4063999" y="2423685"/>
                  </a:lnTo>
                  <a:lnTo>
                    <a:pt x="2822946" y="1609322"/>
                  </a:lnTo>
                  <a:lnTo>
                    <a:pt x="2338362" y="1317699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solidFill>
                <a:schemeClr val="bg1"/>
              </a:solidFill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  <xdr:twoCellAnchor>
    <xdr:from>
      <xdr:col>17</xdr:col>
      <xdr:colOff>554591</xdr:colOff>
      <xdr:row>3</xdr:row>
      <xdr:rowOff>152400</xdr:rowOff>
    </xdr:from>
    <xdr:to>
      <xdr:col>25</xdr:col>
      <xdr:colOff>145741</xdr:colOff>
      <xdr:row>19</xdr:row>
      <xdr:rowOff>94252</xdr:rowOff>
    </xdr:to>
    <xdr:grpSp>
      <xdr:nvGrpSpPr>
        <xdr:cNvPr id="462" name="Agrupar 461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GrpSpPr/>
      </xdr:nvGrpSpPr>
      <xdr:grpSpPr>
        <a:xfrm>
          <a:off x="8281271" y="601980"/>
          <a:ext cx="4589870" cy="2486932"/>
          <a:chOff x="8384141" y="742952"/>
          <a:chExt cx="4467950" cy="2456473"/>
        </a:xfrm>
      </xdr:grpSpPr>
      <xdr:grpSp>
        <xdr:nvGrpSpPr>
          <xdr:cNvPr id="460" name="Agrupar 459">
            <a:extLst>
              <a:ext uri="{FF2B5EF4-FFF2-40B4-BE49-F238E27FC236}">
                <a16:creationId xmlns:a16="http://schemas.microsoft.com/office/drawing/2014/main" id="{00000000-0008-0000-0100-0000CC010000}"/>
              </a:ext>
            </a:extLst>
          </xdr:cNvPr>
          <xdr:cNvGrpSpPr/>
        </xdr:nvGrpSpPr>
        <xdr:grpSpPr>
          <a:xfrm>
            <a:off x="8384141" y="742952"/>
            <a:ext cx="4467950" cy="2456473"/>
            <a:chOff x="8364807" y="740688"/>
            <a:chExt cx="4458708" cy="2441806"/>
          </a:xfrm>
        </xdr:grpSpPr>
        <xdr:sp macro="" textlink="">
          <xdr:nvSpPr>
            <xdr:cNvPr id="344" name="Retângulo: Cantos Arredondados 343">
              <a:extLst>
                <a:ext uri="{FF2B5EF4-FFF2-40B4-BE49-F238E27FC236}">
                  <a16:creationId xmlns:a16="http://schemas.microsoft.com/office/drawing/2014/main" id="{00000000-0008-0000-0100-000058010000}"/>
                </a:ext>
              </a:extLst>
            </xdr:cNvPr>
            <xdr:cNvSpPr/>
          </xdr:nvSpPr>
          <xdr:spPr>
            <a:xfrm>
              <a:off x="8364807" y="779216"/>
              <a:ext cx="4458708" cy="2403278"/>
            </a:xfrm>
            <a:prstGeom prst="roundRect">
              <a:avLst>
                <a:gd name="adj" fmla="val 5296"/>
              </a:avLst>
            </a:prstGeom>
            <a:solidFill>
              <a:srgbClr val="111315"/>
            </a:solidFill>
            <a:ln>
              <a:noFill/>
            </a:ln>
            <a:effectLst>
              <a:outerShdw blurRad="1778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45" name="Retângulo: Cantos Arredondados 344">
              <a:extLst>
                <a:ext uri="{FF2B5EF4-FFF2-40B4-BE49-F238E27FC236}">
                  <a16:creationId xmlns:a16="http://schemas.microsoft.com/office/drawing/2014/main" id="{00000000-0008-0000-0100-000059010000}"/>
                </a:ext>
              </a:extLst>
            </xdr:cNvPr>
            <xdr:cNvSpPr/>
          </xdr:nvSpPr>
          <xdr:spPr>
            <a:xfrm>
              <a:off x="8456805" y="1034515"/>
              <a:ext cx="793085" cy="1193769"/>
            </a:xfrm>
            <a:prstGeom prst="roundRect">
              <a:avLst>
                <a:gd name="adj" fmla="val 15779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46" name="Retângulo: Cantos Arredondados 345">
              <a:extLst>
                <a:ext uri="{FF2B5EF4-FFF2-40B4-BE49-F238E27FC236}">
                  <a16:creationId xmlns:a16="http://schemas.microsoft.com/office/drawing/2014/main" id="{00000000-0008-0000-0100-00005A010000}"/>
                </a:ext>
              </a:extLst>
            </xdr:cNvPr>
            <xdr:cNvSpPr/>
          </xdr:nvSpPr>
          <xdr:spPr>
            <a:xfrm>
              <a:off x="9331068" y="1034758"/>
              <a:ext cx="790896" cy="1193769"/>
            </a:xfrm>
            <a:prstGeom prst="roundRect">
              <a:avLst>
                <a:gd name="adj" fmla="val 15779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47" name="Retângulo: Cantos Arredondados 346">
              <a:extLst>
                <a:ext uri="{FF2B5EF4-FFF2-40B4-BE49-F238E27FC236}">
                  <a16:creationId xmlns:a16="http://schemas.microsoft.com/office/drawing/2014/main" id="{00000000-0008-0000-0100-00005B010000}"/>
                </a:ext>
              </a:extLst>
            </xdr:cNvPr>
            <xdr:cNvSpPr/>
          </xdr:nvSpPr>
          <xdr:spPr>
            <a:xfrm>
              <a:off x="11080185" y="1034783"/>
              <a:ext cx="790896" cy="1193769"/>
            </a:xfrm>
            <a:prstGeom prst="roundRect">
              <a:avLst>
                <a:gd name="adj" fmla="val 15779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48" name="Retângulo: Cantos Arredondados 347">
              <a:extLst>
                <a:ext uri="{FF2B5EF4-FFF2-40B4-BE49-F238E27FC236}">
                  <a16:creationId xmlns:a16="http://schemas.microsoft.com/office/drawing/2014/main" id="{00000000-0008-0000-0100-00005C010000}"/>
                </a:ext>
              </a:extLst>
            </xdr:cNvPr>
            <xdr:cNvSpPr/>
          </xdr:nvSpPr>
          <xdr:spPr>
            <a:xfrm>
              <a:off x="10203142" y="1034776"/>
              <a:ext cx="791674" cy="1193769"/>
            </a:xfrm>
            <a:prstGeom prst="roundRect">
              <a:avLst>
                <a:gd name="adj" fmla="val 15779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49" name="Retângulo: Cantos Arredondados 348">
              <a:extLst>
                <a:ext uri="{FF2B5EF4-FFF2-40B4-BE49-F238E27FC236}">
                  <a16:creationId xmlns:a16="http://schemas.microsoft.com/office/drawing/2014/main" id="{00000000-0008-0000-0100-00005D010000}"/>
                </a:ext>
              </a:extLst>
            </xdr:cNvPr>
            <xdr:cNvSpPr/>
          </xdr:nvSpPr>
          <xdr:spPr>
            <a:xfrm>
              <a:off x="11952261" y="1034803"/>
              <a:ext cx="791674" cy="1193769"/>
            </a:xfrm>
            <a:prstGeom prst="roundRect">
              <a:avLst>
                <a:gd name="adj" fmla="val 10571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50" name="Retângulo: Cantos Arredondados 349">
              <a:extLst>
                <a:ext uri="{FF2B5EF4-FFF2-40B4-BE49-F238E27FC236}">
                  <a16:creationId xmlns:a16="http://schemas.microsoft.com/office/drawing/2014/main" id="{00000000-0008-0000-0100-00005E010000}"/>
                </a:ext>
              </a:extLst>
            </xdr:cNvPr>
            <xdr:cNvSpPr/>
          </xdr:nvSpPr>
          <xdr:spPr>
            <a:xfrm>
              <a:off x="8456806" y="2308736"/>
              <a:ext cx="4288301" cy="773544"/>
            </a:xfrm>
            <a:prstGeom prst="roundRect">
              <a:avLst>
                <a:gd name="adj" fmla="val 20408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51" name="Retângulo 350">
              <a:extLst>
                <a:ext uri="{FF2B5EF4-FFF2-40B4-BE49-F238E27FC236}">
                  <a16:creationId xmlns:a16="http://schemas.microsoft.com/office/drawing/2014/main" id="{00000000-0008-0000-0100-00005F010000}"/>
                </a:ext>
              </a:extLst>
            </xdr:cNvPr>
            <xdr:cNvSpPr/>
          </xdr:nvSpPr>
          <xdr:spPr>
            <a:xfrm>
              <a:off x="8456806" y="1034520"/>
              <a:ext cx="793673" cy="2152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Telhas</a:t>
              </a:r>
            </a:p>
          </xdr:txBody>
        </xdr:sp>
        <xdr:sp macro="" textlink="">
          <xdr:nvSpPr>
            <xdr:cNvPr id="352" name="Retângulo 351">
              <a:extLst>
                <a:ext uri="{FF2B5EF4-FFF2-40B4-BE49-F238E27FC236}">
                  <a16:creationId xmlns:a16="http://schemas.microsoft.com/office/drawing/2014/main" id="{00000000-0008-0000-0100-000060010000}"/>
                </a:ext>
              </a:extLst>
            </xdr:cNvPr>
            <xdr:cNvSpPr/>
          </xdr:nvSpPr>
          <xdr:spPr>
            <a:xfrm>
              <a:off x="9629379" y="740688"/>
              <a:ext cx="1929557" cy="252038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Quantitativos e Valores</a:t>
              </a:r>
            </a:p>
          </xdr:txBody>
        </xdr:sp>
        <xdr:sp macro="" textlink="">
          <xdr:nvSpPr>
            <xdr:cNvPr id="353" name="Fluxograma: Dados Armazenados 3">
              <a:extLst>
                <a:ext uri="{FF2B5EF4-FFF2-40B4-BE49-F238E27FC236}">
                  <a16:creationId xmlns:a16="http://schemas.microsoft.com/office/drawing/2014/main" id="{00000000-0008-0000-0100-000061010000}"/>
                </a:ext>
              </a:extLst>
            </xdr:cNvPr>
            <xdr:cNvSpPr/>
          </xdr:nvSpPr>
          <xdr:spPr>
            <a:xfrm rot="8023333">
              <a:off x="8667946" y="1398230"/>
              <a:ext cx="366422" cy="111981"/>
            </a:xfrm>
            <a:custGeom>
              <a:avLst/>
              <a:gdLst>
                <a:gd name="connsiteX0" fmla="*/ 1667 w 10000"/>
                <a:gd name="connsiteY0" fmla="*/ 0 h 10000"/>
                <a:gd name="connsiteX1" fmla="*/ 10000 w 10000"/>
                <a:gd name="connsiteY1" fmla="*/ 0 h 10000"/>
                <a:gd name="connsiteX2" fmla="*/ 8333 w 10000"/>
                <a:gd name="connsiteY2" fmla="*/ 5000 h 10000"/>
                <a:gd name="connsiteX3" fmla="*/ 10000 w 10000"/>
                <a:gd name="connsiteY3" fmla="*/ 10000 h 10000"/>
                <a:gd name="connsiteX4" fmla="*/ 1667 w 10000"/>
                <a:gd name="connsiteY4" fmla="*/ 10000 h 10000"/>
                <a:gd name="connsiteX5" fmla="*/ 0 w 10000"/>
                <a:gd name="connsiteY5" fmla="*/ 5000 h 10000"/>
                <a:gd name="connsiteX6" fmla="*/ 1667 w 10000"/>
                <a:gd name="connsiteY6" fmla="*/ 0 h 10000"/>
                <a:gd name="connsiteX0" fmla="*/ 1667 w 10718"/>
                <a:gd name="connsiteY0" fmla="*/ 188 h 10188"/>
                <a:gd name="connsiteX1" fmla="*/ 10718 w 10718"/>
                <a:gd name="connsiteY1" fmla="*/ 0 h 10188"/>
                <a:gd name="connsiteX2" fmla="*/ 8333 w 10718"/>
                <a:gd name="connsiteY2" fmla="*/ 5188 h 10188"/>
                <a:gd name="connsiteX3" fmla="*/ 10000 w 10718"/>
                <a:gd name="connsiteY3" fmla="*/ 10188 h 10188"/>
                <a:gd name="connsiteX4" fmla="*/ 1667 w 10718"/>
                <a:gd name="connsiteY4" fmla="*/ 10188 h 10188"/>
                <a:gd name="connsiteX5" fmla="*/ 0 w 10718"/>
                <a:gd name="connsiteY5" fmla="*/ 5188 h 10188"/>
                <a:gd name="connsiteX6" fmla="*/ 1667 w 10718"/>
                <a:gd name="connsiteY6" fmla="*/ 188 h 10188"/>
                <a:gd name="connsiteX0" fmla="*/ 1667 w 10718"/>
                <a:gd name="connsiteY0" fmla="*/ 188 h 10188"/>
                <a:gd name="connsiteX1" fmla="*/ 10718 w 10718"/>
                <a:gd name="connsiteY1" fmla="*/ 0 h 10188"/>
                <a:gd name="connsiteX2" fmla="*/ 8333 w 10718"/>
                <a:gd name="connsiteY2" fmla="*/ 5188 h 10188"/>
                <a:gd name="connsiteX3" fmla="*/ 10000 w 10718"/>
                <a:gd name="connsiteY3" fmla="*/ 10188 h 10188"/>
                <a:gd name="connsiteX4" fmla="*/ 1667 w 10718"/>
                <a:gd name="connsiteY4" fmla="*/ 10188 h 10188"/>
                <a:gd name="connsiteX5" fmla="*/ 0 w 10718"/>
                <a:gd name="connsiteY5" fmla="*/ 5188 h 10188"/>
                <a:gd name="connsiteX6" fmla="*/ 1667 w 10718"/>
                <a:gd name="connsiteY6" fmla="*/ 188 h 10188"/>
                <a:gd name="connsiteX0" fmla="*/ 2189 w 10724"/>
                <a:gd name="connsiteY0" fmla="*/ 188 h 10188"/>
                <a:gd name="connsiteX1" fmla="*/ 10724 w 10724"/>
                <a:gd name="connsiteY1" fmla="*/ 0 h 10188"/>
                <a:gd name="connsiteX2" fmla="*/ 8339 w 10724"/>
                <a:gd name="connsiteY2" fmla="*/ 5188 h 10188"/>
                <a:gd name="connsiteX3" fmla="*/ 10006 w 10724"/>
                <a:gd name="connsiteY3" fmla="*/ 10188 h 10188"/>
                <a:gd name="connsiteX4" fmla="*/ 1673 w 10724"/>
                <a:gd name="connsiteY4" fmla="*/ 10188 h 10188"/>
                <a:gd name="connsiteX5" fmla="*/ 6 w 10724"/>
                <a:gd name="connsiteY5" fmla="*/ 5188 h 10188"/>
                <a:gd name="connsiteX6" fmla="*/ 2189 w 10724"/>
                <a:gd name="connsiteY6" fmla="*/ 188 h 10188"/>
                <a:gd name="connsiteX0" fmla="*/ 2185 w 10720"/>
                <a:gd name="connsiteY0" fmla="*/ 188 h 10188"/>
                <a:gd name="connsiteX1" fmla="*/ 10720 w 10720"/>
                <a:gd name="connsiteY1" fmla="*/ 0 h 10188"/>
                <a:gd name="connsiteX2" fmla="*/ 8335 w 10720"/>
                <a:gd name="connsiteY2" fmla="*/ 5188 h 10188"/>
                <a:gd name="connsiteX3" fmla="*/ 10002 w 10720"/>
                <a:gd name="connsiteY3" fmla="*/ 10188 h 10188"/>
                <a:gd name="connsiteX4" fmla="*/ 1669 w 10720"/>
                <a:gd name="connsiteY4" fmla="*/ 10188 h 10188"/>
                <a:gd name="connsiteX5" fmla="*/ 2 w 10720"/>
                <a:gd name="connsiteY5" fmla="*/ 5188 h 10188"/>
                <a:gd name="connsiteX6" fmla="*/ 2185 w 10720"/>
                <a:gd name="connsiteY6" fmla="*/ 188 h 10188"/>
                <a:gd name="connsiteX0" fmla="*/ 2185 w 10720"/>
                <a:gd name="connsiteY0" fmla="*/ 188 h 10188"/>
                <a:gd name="connsiteX1" fmla="*/ 10720 w 10720"/>
                <a:gd name="connsiteY1" fmla="*/ 0 h 10188"/>
                <a:gd name="connsiteX2" fmla="*/ 8335 w 10720"/>
                <a:gd name="connsiteY2" fmla="*/ 5188 h 10188"/>
                <a:gd name="connsiteX3" fmla="*/ 9615 w 10720"/>
                <a:gd name="connsiteY3" fmla="*/ 10150 h 10188"/>
                <a:gd name="connsiteX4" fmla="*/ 1669 w 10720"/>
                <a:gd name="connsiteY4" fmla="*/ 10188 h 10188"/>
                <a:gd name="connsiteX5" fmla="*/ 2 w 10720"/>
                <a:gd name="connsiteY5" fmla="*/ 5188 h 10188"/>
                <a:gd name="connsiteX6" fmla="*/ 2185 w 10720"/>
                <a:gd name="connsiteY6" fmla="*/ 188 h 10188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35 w 10794"/>
                <a:gd name="connsiteY2" fmla="*/ 5263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35 w 10794"/>
                <a:gd name="connsiteY2" fmla="*/ 5263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53 w 10794"/>
                <a:gd name="connsiteY2" fmla="*/ 4924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53 w 10794"/>
                <a:gd name="connsiteY2" fmla="*/ 4924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53 w 10794"/>
                <a:gd name="connsiteY2" fmla="*/ 4924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53 w 10794"/>
                <a:gd name="connsiteY2" fmla="*/ 4924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353 w 10794"/>
                <a:gd name="connsiteY2" fmla="*/ 4924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537 w 10794"/>
                <a:gd name="connsiteY2" fmla="*/ 4247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537 w 10794"/>
                <a:gd name="connsiteY2" fmla="*/ 4247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10794"/>
                <a:gd name="connsiteY0" fmla="*/ 263 h 10263"/>
                <a:gd name="connsiteX1" fmla="*/ 10794 w 10794"/>
                <a:gd name="connsiteY1" fmla="*/ 0 h 10263"/>
                <a:gd name="connsiteX2" fmla="*/ 8537 w 10794"/>
                <a:gd name="connsiteY2" fmla="*/ 4247 h 10263"/>
                <a:gd name="connsiteX3" fmla="*/ 9615 w 10794"/>
                <a:gd name="connsiteY3" fmla="*/ 10225 h 10263"/>
                <a:gd name="connsiteX4" fmla="*/ 1669 w 10794"/>
                <a:gd name="connsiteY4" fmla="*/ 10263 h 10263"/>
                <a:gd name="connsiteX5" fmla="*/ 2 w 10794"/>
                <a:gd name="connsiteY5" fmla="*/ 5263 h 10263"/>
                <a:gd name="connsiteX6" fmla="*/ 2185 w 10794"/>
                <a:gd name="connsiteY6" fmla="*/ 263 h 10263"/>
                <a:gd name="connsiteX0" fmla="*/ 2185 w 9615"/>
                <a:gd name="connsiteY0" fmla="*/ 181 h 10181"/>
                <a:gd name="connsiteX1" fmla="*/ 8601 w 9615"/>
                <a:gd name="connsiteY1" fmla="*/ 0 h 10181"/>
                <a:gd name="connsiteX2" fmla="*/ 8537 w 9615"/>
                <a:gd name="connsiteY2" fmla="*/ 4165 h 10181"/>
                <a:gd name="connsiteX3" fmla="*/ 9615 w 9615"/>
                <a:gd name="connsiteY3" fmla="*/ 10143 h 10181"/>
                <a:gd name="connsiteX4" fmla="*/ 1669 w 9615"/>
                <a:gd name="connsiteY4" fmla="*/ 10181 h 10181"/>
                <a:gd name="connsiteX5" fmla="*/ 2 w 9615"/>
                <a:gd name="connsiteY5" fmla="*/ 5181 h 10181"/>
                <a:gd name="connsiteX6" fmla="*/ 2185 w 9615"/>
                <a:gd name="connsiteY6" fmla="*/ 181 h 10181"/>
                <a:gd name="connsiteX0" fmla="*/ 2272 w 10000"/>
                <a:gd name="connsiteY0" fmla="*/ 178 h 10000"/>
                <a:gd name="connsiteX1" fmla="*/ 8945 w 10000"/>
                <a:gd name="connsiteY1" fmla="*/ 0 h 10000"/>
                <a:gd name="connsiteX2" fmla="*/ 8394 w 10000"/>
                <a:gd name="connsiteY2" fmla="*/ 6976 h 10000"/>
                <a:gd name="connsiteX3" fmla="*/ 10000 w 10000"/>
                <a:gd name="connsiteY3" fmla="*/ 9963 h 10000"/>
                <a:gd name="connsiteX4" fmla="*/ 1736 w 10000"/>
                <a:gd name="connsiteY4" fmla="*/ 10000 h 10000"/>
                <a:gd name="connsiteX5" fmla="*/ 2 w 10000"/>
                <a:gd name="connsiteY5" fmla="*/ 5089 h 10000"/>
                <a:gd name="connsiteX6" fmla="*/ 2272 w 10000"/>
                <a:gd name="connsiteY6" fmla="*/ 178 h 10000"/>
                <a:gd name="connsiteX0" fmla="*/ 2272 w 10000"/>
                <a:gd name="connsiteY0" fmla="*/ 178 h 10000"/>
                <a:gd name="connsiteX1" fmla="*/ 8945 w 10000"/>
                <a:gd name="connsiteY1" fmla="*/ 0 h 10000"/>
                <a:gd name="connsiteX2" fmla="*/ 8394 w 10000"/>
                <a:gd name="connsiteY2" fmla="*/ 6976 h 10000"/>
                <a:gd name="connsiteX3" fmla="*/ 10000 w 10000"/>
                <a:gd name="connsiteY3" fmla="*/ 9963 h 10000"/>
                <a:gd name="connsiteX4" fmla="*/ 1736 w 10000"/>
                <a:gd name="connsiteY4" fmla="*/ 10000 h 10000"/>
                <a:gd name="connsiteX5" fmla="*/ 2 w 10000"/>
                <a:gd name="connsiteY5" fmla="*/ 5089 h 10000"/>
                <a:gd name="connsiteX6" fmla="*/ 2272 w 10000"/>
                <a:gd name="connsiteY6" fmla="*/ 178 h 10000"/>
                <a:gd name="connsiteX0" fmla="*/ 2272 w 10000"/>
                <a:gd name="connsiteY0" fmla="*/ 178 h 10000"/>
                <a:gd name="connsiteX1" fmla="*/ 8945 w 10000"/>
                <a:gd name="connsiteY1" fmla="*/ 0 h 10000"/>
                <a:gd name="connsiteX2" fmla="*/ 8394 w 10000"/>
                <a:gd name="connsiteY2" fmla="*/ 6976 h 10000"/>
                <a:gd name="connsiteX3" fmla="*/ 10000 w 10000"/>
                <a:gd name="connsiteY3" fmla="*/ 9963 h 10000"/>
                <a:gd name="connsiteX4" fmla="*/ 1736 w 10000"/>
                <a:gd name="connsiteY4" fmla="*/ 10000 h 10000"/>
                <a:gd name="connsiteX5" fmla="*/ 2 w 10000"/>
                <a:gd name="connsiteY5" fmla="*/ 5089 h 10000"/>
                <a:gd name="connsiteX6" fmla="*/ 2272 w 10000"/>
                <a:gd name="connsiteY6" fmla="*/ 178 h 10000"/>
                <a:gd name="connsiteX0" fmla="*/ 2272 w 10000"/>
                <a:gd name="connsiteY0" fmla="*/ 178 h 10000"/>
                <a:gd name="connsiteX1" fmla="*/ 8945 w 10000"/>
                <a:gd name="connsiteY1" fmla="*/ 0 h 10000"/>
                <a:gd name="connsiteX2" fmla="*/ 8394 w 10000"/>
                <a:gd name="connsiteY2" fmla="*/ 6976 h 10000"/>
                <a:gd name="connsiteX3" fmla="*/ 10000 w 10000"/>
                <a:gd name="connsiteY3" fmla="*/ 9963 h 10000"/>
                <a:gd name="connsiteX4" fmla="*/ 1736 w 10000"/>
                <a:gd name="connsiteY4" fmla="*/ 10000 h 10000"/>
                <a:gd name="connsiteX5" fmla="*/ 2 w 10000"/>
                <a:gd name="connsiteY5" fmla="*/ 5089 h 10000"/>
                <a:gd name="connsiteX6" fmla="*/ 2272 w 10000"/>
                <a:gd name="connsiteY6" fmla="*/ 178 h 10000"/>
                <a:gd name="connsiteX0" fmla="*/ 2272 w 10000"/>
                <a:gd name="connsiteY0" fmla="*/ 178 h 10000"/>
                <a:gd name="connsiteX1" fmla="*/ 8945 w 10000"/>
                <a:gd name="connsiteY1" fmla="*/ 0 h 10000"/>
                <a:gd name="connsiteX2" fmla="*/ 8394 w 10000"/>
                <a:gd name="connsiteY2" fmla="*/ 6976 h 10000"/>
                <a:gd name="connsiteX3" fmla="*/ 10000 w 10000"/>
                <a:gd name="connsiteY3" fmla="*/ 9963 h 10000"/>
                <a:gd name="connsiteX4" fmla="*/ 1736 w 10000"/>
                <a:gd name="connsiteY4" fmla="*/ 10000 h 10000"/>
                <a:gd name="connsiteX5" fmla="*/ 2 w 10000"/>
                <a:gd name="connsiteY5" fmla="*/ 5089 h 10000"/>
                <a:gd name="connsiteX6" fmla="*/ 2272 w 10000"/>
                <a:gd name="connsiteY6" fmla="*/ 178 h 10000"/>
                <a:gd name="connsiteX0" fmla="*/ 1215 w 10011"/>
                <a:gd name="connsiteY0" fmla="*/ 235 h 10000"/>
                <a:gd name="connsiteX1" fmla="*/ 8956 w 10011"/>
                <a:gd name="connsiteY1" fmla="*/ 0 h 10000"/>
                <a:gd name="connsiteX2" fmla="*/ 8405 w 10011"/>
                <a:gd name="connsiteY2" fmla="*/ 6976 h 10000"/>
                <a:gd name="connsiteX3" fmla="*/ 10011 w 10011"/>
                <a:gd name="connsiteY3" fmla="*/ 9963 h 10000"/>
                <a:gd name="connsiteX4" fmla="*/ 1747 w 10011"/>
                <a:gd name="connsiteY4" fmla="*/ 10000 h 10000"/>
                <a:gd name="connsiteX5" fmla="*/ 13 w 10011"/>
                <a:gd name="connsiteY5" fmla="*/ 5089 h 10000"/>
                <a:gd name="connsiteX6" fmla="*/ 1215 w 10011"/>
                <a:gd name="connsiteY6" fmla="*/ 235 h 10000"/>
                <a:gd name="connsiteX0" fmla="*/ 1210 w 10006"/>
                <a:gd name="connsiteY0" fmla="*/ 235 h 10000"/>
                <a:gd name="connsiteX1" fmla="*/ 8951 w 10006"/>
                <a:gd name="connsiteY1" fmla="*/ 0 h 10000"/>
                <a:gd name="connsiteX2" fmla="*/ 8400 w 10006"/>
                <a:gd name="connsiteY2" fmla="*/ 6976 h 10000"/>
                <a:gd name="connsiteX3" fmla="*/ 10006 w 10006"/>
                <a:gd name="connsiteY3" fmla="*/ 9963 h 10000"/>
                <a:gd name="connsiteX4" fmla="*/ 1742 w 10006"/>
                <a:gd name="connsiteY4" fmla="*/ 10000 h 10000"/>
                <a:gd name="connsiteX5" fmla="*/ 8 w 10006"/>
                <a:gd name="connsiteY5" fmla="*/ 5089 h 10000"/>
                <a:gd name="connsiteX6" fmla="*/ 1210 w 10006"/>
                <a:gd name="connsiteY6" fmla="*/ 235 h 10000"/>
                <a:gd name="connsiteX0" fmla="*/ 1238 w 10034"/>
                <a:gd name="connsiteY0" fmla="*/ 235 h 9963"/>
                <a:gd name="connsiteX1" fmla="*/ 8979 w 10034"/>
                <a:gd name="connsiteY1" fmla="*/ 0 h 9963"/>
                <a:gd name="connsiteX2" fmla="*/ 8428 w 10034"/>
                <a:gd name="connsiteY2" fmla="*/ 6976 h 9963"/>
                <a:gd name="connsiteX3" fmla="*/ 10034 w 10034"/>
                <a:gd name="connsiteY3" fmla="*/ 9963 h 9963"/>
                <a:gd name="connsiteX4" fmla="*/ 2548 w 10034"/>
                <a:gd name="connsiteY4" fmla="*/ 9873 h 9963"/>
                <a:gd name="connsiteX5" fmla="*/ 36 w 10034"/>
                <a:gd name="connsiteY5" fmla="*/ 5089 h 9963"/>
                <a:gd name="connsiteX6" fmla="*/ 1238 w 10034"/>
                <a:gd name="connsiteY6" fmla="*/ 235 h 9963"/>
                <a:gd name="connsiteX0" fmla="*/ 665 w 9431"/>
                <a:gd name="connsiteY0" fmla="*/ 236 h 10000"/>
                <a:gd name="connsiteX1" fmla="*/ 8380 w 9431"/>
                <a:gd name="connsiteY1" fmla="*/ 0 h 10000"/>
                <a:gd name="connsiteX2" fmla="*/ 7830 w 9431"/>
                <a:gd name="connsiteY2" fmla="*/ 7002 h 10000"/>
                <a:gd name="connsiteX3" fmla="*/ 9431 w 9431"/>
                <a:gd name="connsiteY3" fmla="*/ 10000 h 10000"/>
                <a:gd name="connsiteX4" fmla="*/ 1970 w 9431"/>
                <a:gd name="connsiteY4" fmla="*/ 9910 h 10000"/>
                <a:gd name="connsiteX5" fmla="*/ 88 w 9431"/>
                <a:gd name="connsiteY5" fmla="*/ 6612 h 10000"/>
                <a:gd name="connsiteX6" fmla="*/ 665 w 9431"/>
                <a:gd name="connsiteY6" fmla="*/ 236 h 10000"/>
                <a:gd name="connsiteX0" fmla="*/ 840 w 10135"/>
                <a:gd name="connsiteY0" fmla="*/ 236 h 10000"/>
                <a:gd name="connsiteX1" fmla="*/ 9021 w 10135"/>
                <a:gd name="connsiteY1" fmla="*/ 0 h 10000"/>
                <a:gd name="connsiteX2" fmla="*/ 8437 w 10135"/>
                <a:gd name="connsiteY2" fmla="*/ 7002 h 10000"/>
                <a:gd name="connsiteX3" fmla="*/ 10135 w 10135"/>
                <a:gd name="connsiteY3" fmla="*/ 10000 h 10000"/>
                <a:gd name="connsiteX4" fmla="*/ 2224 w 10135"/>
                <a:gd name="connsiteY4" fmla="*/ 9910 h 10000"/>
                <a:gd name="connsiteX5" fmla="*/ 70 w 10135"/>
                <a:gd name="connsiteY5" fmla="*/ 6812 h 10000"/>
                <a:gd name="connsiteX6" fmla="*/ 840 w 10135"/>
                <a:gd name="connsiteY6" fmla="*/ 236 h 10000"/>
                <a:gd name="connsiteX0" fmla="*/ 948 w 10243"/>
                <a:gd name="connsiteY0" fmla="*/ 236 h 10000"/>
                <a:gd name="connsiteX1" fmla="*/ 9129 w 10243"/>
                <a:gd name="connsiteY1" fmla="*/ 0 h 10000"/>
                <a:gd name="connsiteX2" fmla="*/ 8545 w 10243"/>
                <a:gd name="connsiteY2" fmla="*/ 7002 h 10000"/>
                <a:gd name="connsiteX3" fmla="*/ 10243 w 10243"/>
                <a:gd name="connsiteY3" fmla="*/ 10000 h 10000"/>
                <a:gd name="connsiteX4" fmla="*/ 2332 w 10243"/>
                <a:gd name="connsiteY4" fmla="*/ 9910 h 10000"/>
                <a:gd name="connsiteX5" fmla="*/ 58 w 10243"/>
                <a:gd name="connsiteY5" fmla="*/ 6451 h 10000"/>
                <a:gd name="connsiteX6" fmla="*/ 948 w 10243"/>
                <a:gd name="connsiteY6" fmla="*/ 236 h 10000"/>
                <a:gd name="connsiteX0" fmla="*/ 948 w 10243"/>
                <a:gd name="connsiteY0" fmla="*/ 236 h 10000"/>
                <a:gd name="connsiteX1" fmla="*/ 9129 w 10243"/>
                <a:gd name="connsiteY1" fmla="*/ 0 h 10000"/>
                <a:gd name="connsiteX2" fmla="*/ 8745 w 10243"/>
                <a:gd name="connsiteY2" fmla="*/ 7205 h 10000"/>
                <a:gd name="connsiteX3" fmla="*/ 10243 w 10243"/>
                <a:gd name="connsiteY3" fmla="*/ 10000 h 10000"/>
                <a:gd name="connsiteX4" fmla="*/ 2332 w 10243"/>
                <a:gd name="connsiteY4" fmla="*/ 9910 h 10000"/>
                <a:gd name="connsiteX5" fmla="*/ 58 w 10243"/>
                <a:gd name="connsiteY5" fmla="*/ 6451 h 10000"/>
                <a:gd name="connsiteX6" fmla="*/ 948 w 10243"/>
                <a:gd name="connsiteY6" fmla="*/ 236 h 10000"/>
                <a:gd name="connsiteX0" fmla="*/ 948 w 10243"/>
                <a:gd name="connsiteY0" fmla="*/ 236 h 10000"/>
                <a:gd name="connsiteX1" fmla="*/ 9129 w 10243"/>
                <a:gd name="connsiteY1" fmla="*/ 0 h 10000"/>
                <a:gd name="connsiteX2" fmla="*/ 8745 w 10243"/>
                <a:gd name="connsiteY2" fmla="*/ 7205 h 10000"/>
                <a:gd name="connsiteX3" fmla="*/ 10243 w 10243"/>
                <a:gd name="connsiteY3" fmla="*/ 10000 h 10000"/>
                <a:gd name="connsiteX4" fmla="*/ 2332 w 10243"/>
                <a:gd name="connsiteY4" fmla="*/ 9910 h 10000"/>
                <a:gd name="connsiteX5" fmla="*/ 58 w 10243"/>
                <a:gd name="connsiteY5" fmla="*/ 6451 h 10000"/>
                <a:gd name="connsiteX6" fmla="*/ 948 w 10243"/>
                <a:gd name="connsiteY6" fmla="*/ 236 h 10000"/>
                <a:gd name="connsiteX0" fmla="*/ 948 w 10243"/>
                <a:gd name="connsiteY0" fmla="*/ 236 h 10000"/>
                <a:gd name="connsiteX1" fmla="*/ 9129 w 10243"/>
                <a:gd name="connsiteY1" fmla="*/ 0 h 10000"/>
                <a:gd name="connsiteX2" fmla="*/ 8745 w 10243"/>
                <a:gd name="connsiteY2" fmla="*/ 7205 h 10000"/>
                <a:gd name="connsiteX3" fmla="*/ 10243 w 10243"/>
                <a:gd name="connsiteY3" fmla="*/ 10000 h 10000"/>
                <a:gd name="connsiteX4" fmla="*/ 2332 w 10243"/>
                <a:gd name="connsiteY4" fmla="*/ 9910 h 10000"/>
                <a:gd name="connsiteX5" fmla="*/ 58 w 10243"/>
                <a:gd name="connsiteY5" fmla="*/ 6451 h 10000"/>
                <a:gd name="connsiteX6" fmla="*/ 948 w 10243"/>
                <a:gd name="connsiteY6" fmla="*/ 236 h 10000"/>
                <a:gd name="connsiteX0" fmla="*/ 639 w 10332"/>
                <a:gd name="connsiteY0" fmla="*/ 254 h 10000"/>
                <a:gd name="connsiteX1" fmla="*/ 9218 w 10332"/>
                <a:gd name="connsiteY1" fmla="*/ 0 h 10000"/>
                <a:gd name="connsiteX2" fmla="*/ 8834 w 10332"/>
                <a:gd name="connsiteY2" fmla="*/ 7205 h 10000"/>
                <a:gd name="connsiteX3" fmla="*/ 10332 w 10332"/>
                <a:gd name="connsiteY3" fmla="*/ 10000 h 10000"/>
                <a:gd name="connsiteX4" fmla="*/ 2421 w 10332"/>
                <a:gd name="connsiteY4" fmla="*/ 9910 h 10000"/>
                <a:gd name="connsiteX5" fmla="*/ 147 w 10332"/>
                <a:gd name="connsiteY5" fmla="*/ 6451 h 10000"/>
                <a:gd name="connsiteX6" fmla="*/ 639 w 10332"/>
                <a:gd name="connsiteY6" fmla="*/ 254 h 10000"/>
                <a:gd name="connsiteX0" fmla="*/ 606 w 10299"/>
                <a:gd name="connsiteY0" fmla="*/ 254 h 10000"/>
                <a:gd name="connsiteX1" fmla="*/ 9185 w 10299"/>
                <a:gd name="connsiteY1" fmla="*/ 0 h 10000"/>
                <a:gd name="connsiteX2" fmla="*/ 8801 w 10299"/>
                <a:gd name="connsiteY2" fmla="*/ 7205 h 10000"/>
                <a:gd name="connsiteX3" fmla="*/ 10299 w 10299"/>
                <a:gd name="connsiteY3" fmla="*/ 10000 h 10000"/>
                <a:gd name="connsiteX4" fmla="*/ 2388 w 10299"/>
                <a:gd name="connsiteY4" fmla="*/ 9910 h 10000"/>
                <a:gd name="connsiteX5" fmla="*/ 114 w 10299"/>
                <a:gd name="connsiteY5" fmla="*/ 6451 h 10000"/>
                <a:gd name="connsiteX6" fmla="*/ 606 w 10299"/>
                <a:gd name="connsiteY6" fmla="*/ 254 h 10000"/>
                <a:gd name="connsiteX0" fmla="*/ 606 w 10313"/>
                <a:gd name="connsiteY0" fmla="*/ 254 h 9910"/>
                <a:gd name="connsiteX1" fmla="*/ 9185 w 10313"/>
                <a:gd name="connsiteY1" fmla="*/ 0 h 9910"/>
                <a:gd name="connsiteX2" fmla="*/ 8801 w 10313"/>
                <a:gd name="connsiteY2" fmla="*/ 7205 h 9910"/>
                <a:gd name="connsiteX3" fmla="*/ 10313 w 10313"/>
                <a:gd name="connsiteY3" fmla="*/ 8217 h 9910"/>
                <a:gd name="connsiteX4" fmla="*/ 2388 w 10313"/>
                <a:gd name="connsiteY4" fmla="*/ 9910 h 9910"/>
                <a:gd name="connsiteX5" fmla="*/ 114 w 10313"/>
                <a:gd name="connsiteY5" fmla="*/ 6451 h 9910"/>
                <a:gd name="connsiteX6" fmla="*/ 606 w 10313"/>
                <a:gd name="connsiteY6" fmla="*/ 254 h 9910"/>
                <a:gd name="connsiteX0" fmla="*/ 576 w 9988"/>
                <a:gd name="connsiteY0" fmla="*/ 256 h 8449"/>
                <a:gd name="connsiteX1" fmla="*/ 8894 w 9988"/>
                <a:gd name="connsiteY1" fmla="*/ 0 h 8449"/>
                <a:gd name="connsiteX2" fmla="*/ 8522 w 9988"/>
                <a:gd name="connsiteY2" fmla="*/ 7270 h 8449"/>
                <a:gd name="connsiteX3" fmla="*/ 9988 w 9988"/>
                <a:gd name="connsiteY3" fmla="*/ 8292 h 8449"/>
                <a:gd name="connsiteX4" fmla="*/ 2150 w 9988"/>
                <a:gd name="connsiteY4" fmla="*/ 8449 h 8449"/>
                <a:gd name="connsiteX5" fmla="*/ 99 w 9988"/>
                <a:gd name="connsiteY5" fmla="*/ 6510 h 8449"/>
                <a:gd name="connsiteX6" fmla="*/ 576 w 9988"/>
                <a:gd name="connsiteY6" fmla="*/ 256 h 8449"/>
                <a:gd name="connsiteX0" fmla="*/ 584 w 10007"/>
                <a:gd name="connsiteY0" fmla="*/ 303 h 10346"/>
                <a:gd name="connsiteX1" fmla="*/ 8912 w 10007"/>
                <a:gd name="connsiteY1" fmla="*/ 0 h 10346"/>
                <a:gd name="connsiteX2" fmla="*/ 8539 w 10007"/>
                <a:gd name="connsiteY2" fmla="*/ 8605 h 10346"/>
                <a:gd name="connsiteX3" fmla="*/ 10007 w 10007"/>
                <a:gd name="connsiteY3" fmla="*/ 9814 h 10346"/>
                <a:gd name="connsiteX4" fmla="*/ 2266 w 10007"/>
                <a:gd name="connsiteY4" fmla="*/ 10346 h 10346"/>
                <a:gd name="connsiteX5" fmla="*/ 106 w 10007"/>
                <a:gd name="connsiteY5" fmla="*/ 7705 h 10346"/>
                <a:gd name="connsiteX6" fmla="*/ 584 w 10007"/>
                <a:gd name="connsiteY6" fmla="*/ 303 h 10346"/>
                <a:gd name="connsiteX0" fmla="*/ 584 w 10007"/>
                <a:gd name="connsiteY0" fmla="*/ 303 h 10346"/>
                <a:gd name="connsiteX1" fmla="*/ 8912 w 10007"/>
                <a:gd name="connsiteY1" fmla="*/ 0 h 10346"/>
                <a:gd name="connsiteX2" fmla="*/ 8565 w 10007"/>
                <a:gd name="connsiteY2" fmla="*/ 7851 h 10346"/>
                <a:gd name="connsiteX3" fmla="*/ 10007 w 10007"/>
                <a:gd name="connsiteY3" fmla="*/ 9814 h 10346"/>
                <a:gd name="connsiteX4" fmla="*/ 2266 w 10007"/>
                <a:gd name="connsiteY4" fmla="*/ 10346 h 10346"/>
                <a:gd name="connsiteX5" fmla="*/ 106 w 10007"/>
                <a:gd name="connsiteY5" fmla="*/ 7705 h 10346"/>
                <a:gd name="connsiteX6" fmla="*/ 584 w 10007"/>
                <a:gd name="connsiteY6" fmla="*/ 303 h 10346"/>
                <a:gd name="connsiteX0" fmla="*/ 584 w 10007"/>
                <a:gd name="connsiteY0" fmla="*/ 303 h 10346"/>
                <a:gd name="connsiteX1" fmla="*/ 8912 w 10007"/>
                <a:gd name="connsiteY1" fmla="*/ 0 h 10346"/>
                <a:gd name="connsiteX2" fmla="*/ 8565 w 10007"/>
                <a:gd name="connsiteY2" fmla="*/ 7851 h 10346"/>
                <a:gd name="connsiteX3" fmla="*/ 10007 w 10007"/>
                <a:gd name="connsiteY3" fmla="*/ 9814 h 10346"/>
                <a:gd name="connsiteX4" fmla="*/ 2266 w 10007"/>
                <a:gd name="connsiteY4" fmla="*/ 10346 h 10346"/>
                <a:gd name="connsiteX5" fmla="*/ 106 w 10007"/>
                <a:gd name="connsiteY5" fmla="*/ 7705 h 10346"/>
                <a:gd name="connsiteX6" fmla="*/ 584 w 10007"/>
                <a:gd name="connsiteY6" fmla="*/ 303 h 10346"/>
                <a:gd name="connsiteX0" fmla="*/ 584 w 10007"/>
                <a:gd name="connsiteY0" fmla="*/ 303 h 10346"/>
                <a:gd name="connsiteX1" fmla="*/ 8912 w 10007"/>
                <a:gd name="connsiteY1" fmla="*/ 0 h 10346"/>
                <a:gd name="connsiteX2" fmla="*/ 8565 w 10007"/>
                <a:gd name="connsiteY2" fmla="*/ 7851 h 10346"/>
                <a:gd name="connsiteX3" fmla="*/ 10007 w 10007"/>
                <a:gd name="connsiteY3" fmla="*/ 9814 h 10346"/>
                <a:gd name="connsiteX4" fmla="*/ 2266 w 10007"/>
                <a:gd name="connsiteY4" fmla="*/ 10346 h 10346"/>
                <a:gd name="connsiteX5" fmla="*/ 106 w 10007"/>
                <a:gd name="connsiteY5" fmla="*/ 7705 h 10346"/>
                <a:gd name="connsiteX6" fmla="*/ 584 w 10007"/>
                <a:gd name="connsiteY6" fmla="*/ 303 h 10346"/>
                <a:gd name="connsiteX0" fmla="*/ 584 w 10007"/>
                <a:gd name="connsiteY0" fmla="*/ 303 h 10346"/>
                <a:gd name="connsiteX1" fmla="*/ 8912 w 10007"/>
                <a:gd name="connsiteY1" fmla="*/ 0 h 10346"/>
                <a:gd name="connsiteX2" fmla="*/ 8671 w 10007"/>
                <a:gd name="connsiteY2" fmla="*/ 8197 h 10346"/>
                <a:gd name="connsiteX3" fmla="*/ 10007 w 10007"/>
                <a:gd name="connsiteY3" fmla="*/ 9814 h 10346"/>
                <a:gd name="connsiteX4" fmla="*/ 2266 w 10007"/>
                <a:gd name="connsiteY4" fmla="*/ 10346 h 10346"/>
                <a:gd name="connsiteX5" fmla="*/ 106 w 10007"/>
                <a:gd name="connsiteY5" fmla="*/ 7705 h 10346"/>
                <a:gd name="connsiteX6" fmla="*/ 584 w 10007"/>
                <a:gd name="connsiteY6" fmla="*/ 303 h 10346"/>
                <a:gd name="connsiteX0" fmla="*/ 584 w 10007"/>
                <a:gd name="connsiteY0" fmla="*/ 303 h 10346"/>
                <a:gd name="connsiteX1" fmla="*/ 8912 w 10007"/>
                <a:gd name="connsiteY1" fmla="*/ 0 h 10346"/>
                <a:gd name="connsiteX2" fmla="*/ 8611 w 10007"/>
                <a:gd name="connsiteY2" fmla="*/ 8051 h 10346"/>
                <a:gd name="connsiteX3" fmla="*/ 10007 w 10007"/>
                <a:gd name="connsiteY3" fmla="*/ 9814 h 10346"/>
                <a:gd name="connsiteX4" fmla="*/ 2266 w 10007"/>
                <a:gd name="connsiteY4" fmla="*/ 10346 h 10346"/>
                <a:gd name="connsiteX5" fmla="*/ 106 w 10007"/>
                <a:gd name="connsiteY5" fmla="*/ 7705 h 10346"/>
                <a:gd name="connsiteX6" fmla="*/ 584 w 10007"/>
                <a:gd name="connsiteY6" fmla="*/ 303 h 10346"/>
                <a:gd name="connsiteX0" fmla="*/ 476 w 9899"/>
                <a:gd name="connsiteY0" fmla="*/ 303 h 10346"/>
                <a:gd name="connsiteX1" fmla="*/ 8804 w 9899"/>
                <a:gd name="connsiteY1" fmla="*/ 0 h 10346"/>
                <a:gd name="connsiteX2" fmla="*/ 8503 w 9899"/>
                <a:gd name="connsiteY2" fmla="*/ 8051 h 10346"/>
                <a:gd name="connsiteX3" fmla="*/ 9899 w 9899"/>
                <a:gd name="connsiteY3" fmla="*/ 9814 h 10346"/>
                <a:gd name="connsiteX4" fmla="*/ 2158 w 9899"/>
                <a:gd name="connsiteY4" fmla="*/ 10346 h 10346"/>
                <a:gd name="connsiteX5" fmla="*/ 136 w 9899"/>
                <a:gd name="connsiteY5" fmla="*/ 7661 h 10346"/>
                <a:gd name="connsiteX6" fmla="*/ 476 w 9899"/>
                <a:gd name="connsiteY6" fmla="*/ 303 h 10346"/>
                <a:gd name="connsiteX0" fmla="*/ 481 w 10000"/>
                <a:gd name="connsiteY0" fmla="*/ 293 h 10000"/>
                <a:gd name="connsiteX1" fmla="*/ 8894 w 10000"/>
                <a:gd name="connsiteY1" fmla="*/ 0 h 10000"/>
                <a:gd name="connsiteX2" fmla="*/ 8590 w 10000"/>
                <a:gd name="connsiteY2" fmla="*/ 7782 h 10000"/>
                <a:gd name="connsiteX3" fmla="*/ 10000 w 10000"/>
                <a:gd name="connsiteY3" fmla="*/ 9486 h 10000"/>
                <a:gd name="connsiteX4" fmla="*/ 2180 w 10000"/>
                <a:gd name="connsiteY4" fmla="*/ 10000 h 10000"/>
                <a:gd name="connsiteX5" fmla="*/ 137 w 10000"/>
                <a:gd name="connsiteY5" fmla="*/ 7405 h 10000"/>
                <a:gd name="connsiteX6" fmla="*/ 481 w 10000"/>
                <a:gd name="connsiteY6" fmla="*/ 293 h 10000"/>
                <a:gd name="connsiteX0" fmla="*/ 481 w 10000"/>
                <a:gd name="connsiteY0" fmla="*/ 293 h 10000"/>
                <a:gd name="connsiteX1" fmla="*/ 8894 w 10000"/>
                <a:gd name="connsiteY1" fmla="*/ 0 h 10000"/>
                <a:gd name="connsiteX2" fmla="*/ 8987 w 10000"/>
                <a:gd name="connsiteY2" fmla="*/ 7892 h 10000"/>
                <a:gd name="connsiteX3" fmla="*/ 10000 w 10000"/>
                <a:gd name="connsiteY3" fmla="*/ 9486 h 10000"/>
                <a:gd name="connsiteX4" fmla="*/ 2180 w 10000"/>
                <a:gd name="connsiteY4" fmla="*/ 10000 h 10000"/>
                <a:gd name="connsiteX5" fmla="*/ 137 w 10000"/>
                <a:gd name="connsiteY5" fmla="*/ 7405 h 10000"/>
                <a:gd name="connsiteX6" fmla="*/ 481 w 10000"/>
                <a:gd name="connsiteY6" fmla="*/ 293 h 10000"/>
                <a:gd name="connsiteX0" fmla="*/ 481 w 10000"/>
                <a:gd name="connsiteY0" fmla="*/ 293 h 10000"/>
                <a:gd name="connsiteX1" fmla="*/ 8894 w 10000"/>
                <a:gd name="connsiteY1" fmla="*/ 0 h 10000"/>
                <a:gd name="connsiteX2" fmla="*/ 8987 w 10000"/>
                <a:gd name="connsiteY2" fmla="*/ 7892 h 10000"/>
                <a:gd name="connsiteX3" fmla="*/ 10000 w 10000"/>
                <a:gd name="connsiteY3" fmla="*/ 9486 h 10000"/>
                <a:gd name="connsiteX4" fmla="*/ 2180 w 10000"/>
                <a:gd name="connsiteY4" fmla="*/ 10000 h 10000"/>
                <a:gd name="connsiteX5" fmla="*/ 137 w 10000"/>
                <a:gd name="connsiteY5" fmla="*/ 7405 h 10000"/>
                <a:gd name="connsiteX6" fmla="*/ 481 w 10000"/>
                <a:gd name="connsiteY6" fmla="*/ 293 h 10000"/>
                <a:gd name="connsiteX0" fmla="*/ 481 w 10000"/>
                <a:gd name="connsiteY0" fmla="*/ 293 h 10000"/>
                <a:gd name="connsiteX1" fmla="*/ 8894 w 10000"/>
                <a:gd name="connsiteY1" fmla="*/ 0 h 10000"/>
                <a:gd name="connsiteX2" fmla="*/ 8987 w 10000"/>
                <a:gd name="connsiteY2" fmla="*/ 7892 h 10000"/>
                <a:gd name="connsiteX3" fmla="*/ 10000 w 10000"/>
                <a:gd name="connsiteY3" fmla="*/ 9486 h 10000"/>
                <a:gd name="connsiteX4" fmla="*/ 2180 w 10000"/>
                <a:gd name="connsiteY4" fmla="*/ 10000 h 10000"/>
                <a:gd name="connsiteX5" fmla="*/ 137 w 10000"/>
                <a:gd name="connsiteY5" fmla="*/ 7405 h 10000"/>
                <a:gd name="connsiteX6" fmla="*/ 481 w 10000"/>
                <a:gd name="connsiteY6" fmla="*/ 293 h 10000"/>
                <a:gd name="connsiteX0" fmla="*/ 459 w 9978"/>
                <a:gd name="connsiteY0" fmla="*/ 293 h 9981"/>
                <a:gd name="connsiteX1" fmla="*/ 8872 w 9978"/>
                <a:gd name="connsiteY1" fmla="*/ 0 h 9981"/>
                <a:gd name="connsiteX2" fmla="*/ 8965 w 9978"/>
                <a:gd name="connsiteY2" fmla="*/ 7892 h 9981"/>
                <a:gd name="connsiteX3" fmla="*/ 9978 w 9978"/>
                <a:gd name="connsiteY3" fmla="*/ 9486 h 9981"/>
                <a:gd name="connsiteX4" fmla="*/ 1856 w 9978"/>
                <a:gd name="connsiteY4" fmla="*/ 9981 h 9981"/>
                <a:gd name="connsiteX5" fmla="*/ 115 w 9978"/>
                <a:gd name="connsiteY5" fmla="*/ 7405 h 9981"/>
                <a:gd name="connsiteX6" fmla="*/ 459 w 9978"/>
                <a:gd name="connsiteY6" fmla="*/ 293 h 9981"/>
                <a:gd name="connsiteX0" fmla="*/ 460 w 10000"/>
                <a:gd name="connsiteY0" fmla="*/ 294 h 10000"/>
                <a:gd name="connsiteX1" fmla="*/ 8892 w 10000"/>
                <a:gd name="connsiteY1" fmla="*/ 0 h 10000"/>
                <a:gd name="connsiteX2" fmla="*/ 8985 w 10000"/>
                <a:gd name="connsiteY2" fmla="*/ 7907 h 10000"/>
                <a:gd name="connsiteX3" fmla="*/ 10000 w 10000"/>
                <a:gd name="connsiteY3" fmla="*/ 9504 h 10000"/>
                <a:gd name="connsiteX4" fmla="*/ 1860 w 10000"/>
                <a:gd name="connsiteY4" fmla="*/ 10000 h 10000"/>
                <a:gd name="connsiteX5" fmla="*/ 115 w 10000"/>
                <a:gd name="connsiteY5" fmla="*/ 7419 h 10000"/>
                <a:gd name="connsiteX6" fmla="*/ 460 w 10000"/>
                <a:gd name="connsiteY6" fmla="*/ 294 h 10000"/>
                <a:gd name="connsiteX0" fmla="*/ 460 w 10000"/>
                <a:gd name="connsiteY0" fmla="*/ 294 h 10000"/>
                <a:gd name="connsiteX1" fmla="*/ 8892 w 10000"/>
                <a:gd name="connsiteY1" fmla="*/ 0 h 10000"/>
                <a:gd name="connsiteX2" fmla="*/ 8985 w 10000"/>
                <a:gd name="connsiteY2" fmla="*/ 7907 h 10000"/>
                <a:gd name="connsiteX3" fmla="*/ 10000 w 10000"/>
                <a:gd name="connsiteY3" fmla="*/ 9504 h 10000"/>
                <a:gd name="connsiteX4" fmla="*/ 1860 w 10000"/>
                <a:gd name="connsiteY4" fmla="*/ 10000 h 10000"/>
                <a:gd name="connsiteX5" fmla="*/ 115 w 10000"/>
                <a:gd name="connsiteY5" fmla="*/ 7419 h 10000"/>
                <a:gd name="connsiteX6" fmla="*/ 460 w 10000"/>
                <a:gd name="connsiteY6" fmla="*/ 294 h 10000"/>
                <a:gd name="connsiteX0" fmla="*/ 460 w 10000"/>
                <a:gd name="connsiteY0" fmla="*/ 294 h 10000"/>
                <a:gd name="connsiteX1" fmla="*/ 8892 w 10000"/>
                <a:gd name="connsiteY1" fmla="*/ 0 h 10000"/>
                <a:gd name="connsiteX2" fmla="*/ 8985 w 10000"/>
                <a:gd name="connsiteY2" fmla="*/ 7907 h 10000"/>
                <a:gd name="connsiteX3" fmla="*/ 10000 w 10000"/>
                <a:gd name="connsiteY3" fmla="*/ 9504 h 10000"/>
                <a:gd name="connsiteX4" fmla="*/ 1860 w 10000"/>
                <a:gd name="connsiteY4" fmla="*/ 10000 h 10000"/>
                <a:gd name="connsiteX5" fmla="*/ 115 w 10000"/>
                <a:gd name="connsiteY5" fmla="*/ 7419 h 10000"/>
                <a:gd name="connsiteX6" fmla="*/ 460 w 10000"/>
                <a:gd name="connsiteY6" fmla="*/ 294 h 10000"/>
                <a:gd name="connsiteX0" fmla="*/ 460 w 9674"/>
                <a:gd name="connsiteY0" fmla="*/ 294 h 10000"/>
                <a:gd name="connsiteX1" fmla="*/ 8892 w 9674"/>
                <a:gd name="connsiteY1" fmla="*/ 0 h 10000"/>
                <a:gd name="connsiteX2" fmla="*/ 8985 w 9674"/>
                <a:gd name="connsiteY2" fmla="*/ 7907 h 10000"/>
                <a:gd name="connsiteX3" fmla="*/ 9674 w 9674"/>
                <a:gd name="connsiteY3" fmla="*/ 9629 h 10000"/>
                <a:gd name="connsiteX4" fmla="*/ 1860 w 9674"/>
                <a:gd name="connsiteY4" fmla="*/ 10000 h 10000"/>
                <a:gd name="connsiteX5" fmla="*/ 115 w 9674"/>
                <a:gd name="connsiteY5" fmla="*/ 7419 h 10000"/>
                <a:gd name="connsiteX6" fmla="*/ 460 w 9674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49 w 10000"/>
                <a:gd name="connsiteY2" fmla="*/ 6788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49 w 10000"/>
                <a:gd name="connsiteY2" fmla="*/ 6788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49 w 10000"/>
                <a:gd name="connsiteY2" fmla="*/ 6788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49 w 10000"/>
                <a:gd name="connsiteY2" fmla="*/ 6788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49 w 10000"/>
                <a:gd name="connsiteY2" fmla="*/ 6788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8947 w 10000"/>
                <a:gd name="connsiteY2" fmla="*/ 6881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8947 w 10000"/>
                <a:gd name="connsiteY2" fmla="*/ 6881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96 w 10000"/>
                <a:gd name="connsiteY2" fmla="*/ 7353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  <a:gd name="connsiteX0" fmla="*/ 476 w 10000"/>
                <a:gd name="connsiteY0" fmla="*/ 294 h 10000"/>
                <a:gd name="connsiteX1" fmla="*/ 9192 w 10000"/>
                <a:gd name="connsiteY1" fmla="*/ 0 h 10000"/>
                <a:gd name="connsiteX2" fmla="*/ 9096 w 10000"/>
                <a:gd name="connsiteY2" fmla="*/ 7353 h 10000"/>
                <a:gd name="connsiteX3" fmla="*/ 10000 w 10000"/>
                <a:gd name="connsiteY3" fmla="*/ 9629 h 10000"/>
                <a:gd name="connsiteX4" fmla="*/ 1923 w 10000"/>
                <a:gd name="connsiteY4" fmla="*/ 10000 h 10000"/>
                <a:gd name="connsiteX5" fmla="*/ 119 w 10000"/>
                <a:gd name="connsiteY5" fmla="*/ 7419 h 10000"/>
                <a:gd name="connsiteX6" fmla="*/ 476 w 10000"/>
                <a:gd name="connsiteY6" fmla="*/ 294 h 100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10000" h="10000">
                  <a:moveTo>
                    <a:pt x="476" y="294"/>
                  </a:moveTo>
                  <a:cubicBezTo>
                    <a:pt x="3578" y="294"/>
                    <a:pt x="6088" y="0"/>
                    <a:pt x="9192" y="0"/>
                  </a:cubicBezTo>
                  <a:cubicBezTo>
                    <a:pt x="8782" y="3867"/>
                    <a:pt x="8913" y="6036"/>
                    <a:pt x="9096" y="7353"/>
                  </a:cubicBezTo>
                  <a:cubicBezTo>
                    <a:pt x="9279" y="8670"/>
                    <a:pt x="9540" y="8957"/>
                    <a:pt x="10000" y="9629"/>
                  </a:cubicBezTo>
                  <a:lnTo>
                    <a:pt x="1923" y="10000"/>
                  </a:lnTo>
                  <a:cubicBezTo>
                    <a:pt x="893" y="10000"/>
                    <a:pt x="361" y="9037"/>
                    <a:pt x="119" y="7419"/>
                  </a:cubicBezTo>
                  <a:cubicBezTo>
                    <a:pt x="-122" y="5801"/>
                    <a:pt x="9" y="2186"/>
                    <a:pt x="476" y="294"/>
                  </a:cubicBezTo>
                  <a:close/>
                </a:path>
              </a:pathLst>
            </a:custGeom>
            <a:gradFill>
              <a:gsLst>
                <a:gs pos="0">
                  <a:srgbClr val="DB4223"/>
                </a:gs>
                <a:gs pos="100000">
                  <a:srgbClr val="DB4223"/>
                </a:gs>
                <a:gs pos="79000">
                  <a:srgbClr val="EE5424"/>
                </a:gs>
                <a:gs pos="51925">
                  <a:srgbClr val="ED6F37"/>
                </a:gs>
                <a:gs pos="22000">
                  <a:srgbClr val="EE5424"/>
                </a:gs>
              </a:gsLst>
              <a:lin ang="16200000" scaled="1"/>
            </a:gradFill>
            <a:ln w="3175" cap="rnd">
              <a:solidFill>
                <a:srgbClr val="481800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54" name="Cubo 353">
              <a:extLst>
                <a:ext uri="{FF2B5EF4-FFF2-40B4-BE49-F238E27FC236}">
                  <a16:creationId xmlns:a16="http://schemas.microsoft.com/office/drawing/2014/main" id="{00000000-0008-0000-0100-000062010000}"/>
                </a:ext>
              </a:extLst>
            </xdr:cNvPr>
            <xdr:cNvSpPr/>
          </xdr:nvSpPr>
          <xdr:spPr>
            <a:xfrm>
              <a:off x="9584416" y="1354731"/>
              <a:ext cx="284789" cy="198980"/>
            </a:xfrm>
            <a:prstGeom prst="cube">
              <a:avLst>
                <a:gd name="adj" fmla="val 78805"/>
              </a:avLst>
            </a:prstGeom>
            <a:gradFill flip="none" rotWithShape="1">
              <a:gsLst>
                <a:gs pos="0">
                  <a:srgbClr val="7E1F0C"/>
                </a:gs>
                <a:gs pos="45000">
                  <a:srgbClr val="BD591B"/>
                </a:gs>
                <a:gs pos="100000">
                  <a:srgbClr val="CF8235"/>
                </a:gs>
              </a:gsLst>
              <a:lin ang="10800000" scaled="1"/>
              <a:tileRect/>
            </a:gradFill>
            <a:ln w="6350">
              <a:solidFill>
                <a:srgbClr val="481800"/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55" name="Retângulo 354">
              <a:extLst>
                <a:ext uri="{FF2B5EF4-FFF2-40B4-BE49-F238E27FC236}">
                  <a16:creationId xmlns:a16="http://schemas.microsoft.com/office/drawing/2014/main" id="{00000000-0008-0000-0100-000063010000}"/>
                </a:ext>
              </a:extLst>
            </xdr:cNvPr>
            <xdr:cNvSpPr/>
          </xdr:nvSpPr>
          <xdr:spPr>
            <a:xfrm>
              <a:off x="9331069" y="1034756"/>
              <a:ext cx="791484" cy="21672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Ripas</a:t>
              </a:r>
            </a:p>
          </xdr:txBody>
        </xdr:sp>
        <xdr:sp macro="" textlink="">
          <xdr:nvSpPr>
            <xdr:cNvPr id="356" name="Retângulo 355">
              <a:extLst>
                <a:ext uri="{FF2B5EF4-FFF2-40B4-BE49-F238E27FC236}">
                  <a16:creationId xmlns:a16="http://schemas.microsoft.com/office/drawing/2014/main" id="{00000000-0008-0000-0100-000064010000}"/>
                </a:ext>
              </a:extLst>
            </xdr:cNvPr>
            <xdr:cNvSpPr/>
          </xdr:nvSpPr>
          <xdr:spPr>
            <a:xfrm>
              <a:off x="11080186" y="1034783"/>
              <a:ext cx="791484" cy="23497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Terças</a:t>
              </a:r>
            </a:p>
          </xdr:txBody>
        </xdr:sp>
        <xdr:sp macro="" textlink="">
          <xdr:nvSpPr>
            <xdr:cNvPr id="357" name="Cubo 356">
              <a:extLst>
                <a:ext uri="{FF2B5EF4-FFF2-40B4-BE49-F238E27FC236}">
                  <a16:creationId xmlns:a16="http://schemas.microsoft.com/office/drawing/2014/main" id="{00000000-0008-0000-0100-000065010000}"/>
                </a:ext>
              </a:extLst>
            </xdr:cNvPr>
            <xdr:cNvSpPr/>
          </xdr:nvSpPr>
          <xdr:spPr>
            <a:xfrm>
              <a:off x="11369531" y="1325868"/>
              <a:ext cx="212795" cy="256706"/>
            </a:xfrm>
            <a:prstGeom prst="cube">
              <a:avLst>
                <a:gd name="adj" fmla="val 52473"/>
              </a:avLst>
            </a:prstGeom>
            <a:gradFill flip="none" rotWithShape="1">
              <a:gsLst>
                <a:gs pos="0">
                  <a:srgbClr val="7E1F0C"/>
                </a:gs>
                <a:gs pos="45000">
                  <a:srgbClr val="BD591B"/>
                </a:gs>
                <a:gs pos="100000">
                  <a:srgbClr val="CF8235"/>
                </a:gs>
              </a:gsLst>
              <a:lin ang="10800000" scaled="1"/>
              <a:tileRect/>
            </a:gradFill>
            <a:ln w="6350">
              <a:solidFill>
                <a:srgbClr val="481800"/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58" name="Retângulo 357">
              <a:extLst>
                <a:ext uri="{FF2B5EF4-FFF2-40B4-BE49-F238E27FC236}">
                  <a16:creationId xmlns:a16="http://schemas.microsoft.com/office/drawing/2014/main" id="{00000000-0008-0000-0100-000066010000}"/>
                </a:ext>
              </a:extLst>
            </xdr:cNvPr>
            <xdr:cNvSpPr/>
          </xdr:nvSpPr>
          <xdr:spPr>
            <a:xfrm>
              <a:off x="10203142" y="1034781"/>
              <a:ext cx="796454" cy="234902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Caibros</a:t>
              </a:r>
            </a:p>
          </xdr:txBody>
        </xdr:sp>
        <xdr:sp macro="" textlink="">
          <xdr:nvSpPr>
            <xdr:cNvPr id="359" name="Cubo 358">
              <a:extLst>
                <a:ext uri="{FF2B5EF4-FFF2-40B4-BE49-F238E27FC236}">
                  <a16:creationId xmlns:a16="http://schemas.microsoft.com/office/drawing/2014/main" id="{00000000-0008-0000-0100-000067010000}"/>
                </a:ext>
              </a:extLst>
            </xdr:cNvPr>
            <xdr:cNvSpPr/>
          </xdr:nvSpPr>
          <xdr:spPr>
            <a:xfrm>
              <a:off x="10493097" y="1345992"/>
              <a:ext cx="216549" cy="216455"/>
            </a:xfrm>
            <a:prstGeom prst="cube">
              <a:avLst>
                <a:gd name="adj" fmla="val 55467"/>
              </a:avLst>
            </a:prstGeom>
            <a:gradFill flip="none" rotWithShape="1">
              <a:gsLst>
                <a:gs pos="0">
                  <a:srgbClr val="7E1F0C"/>
                </a:gs>
                <a:gs pos="45000">
                  <a:srgbClr val="BD591B"/>
                </a:gs>
                <a:gs pos="100000">
                  <a:srgbClr val="CF8235"/>
                </a:gs>
              </a:gsLst>
              <a:lin ang="10800000" scaled="1"/>
              <a:tileRect/>
            </a:gradFill>
            <a:ln w="6350">
              <a:solidFill>
                <a:srgbClr val="481800"/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 sz="11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60" name="Retângulo 359">
              <a:extLst>
                <a:ext uri="{FF2B5EF4-FFF2-40B4-BE49-F238E27FC236}">
                  <a16:creationId xmlns:a16="http://schemas.microsoft.com/office/drawing/2014/main" id="{00000000-0008-0000-0100-000068010000}"/>
                </a:ext>
              </a:extLst>
            </xdr:cNvPr>
            <xdr:cNvSpPr/>
          </xdr:nvSpPr>
          <xdr:spPr>
            <a:xfrm>
              <a:off x="11952261" y="1034809"/>
              <a:ext cx="796455" cy="225313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pt-BR" sz="11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Treliças</a:t>
              </a:r>
            </a:p>
          </xdr:txBody>
        </xdr:sp>
        <xdr:sp macro="" textlink="">
          <xdr:nvSpPr>
            <xdr:cNvPr id="361" name="Retângulo 360">
              <a:extLst>
                <a:ext uri="{FF2B5EF4-FFF2-40B4-BE49-F238E27FC236}">
                  <a16:creationId xmlns:a16="http://schemas.microsoft.com/office/drawing/2014/main" id="{00000000-0008-0000-0100-000069010000}"/>
                </a:ext>
              </a:extLst>
            </xdr:cNvPr>
            <xdr:cNvSpPr/>
          </xdr:nvSpPr>
          <xdr:spPr>
            <a:xfrm>
              <a:off x="8765556" y="2374446"/>
              <a:ext cx="1079661" cy="15786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r>
                <a:rPr lang="en-US" sz="900" b="0" i="0" u="none" strike="noStrike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Valor</a:t>
              </a:r>
              <a:r>
                <a:rPr lang="en-US" sz="900" b="0" i="0" u="none" strike="noStrike" baseline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 total dos itens</a:t>
              </a:r>
              <a:endParaRPr lang="en-US" sz="9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62" name="Retângulo 361">
              <a:extLst>
                <a:ext uri="{FF2B5EF4-FFF2-40B4-BE49-F238E27FC236}">
                  <a16:creationId xmlns:a16="http://schemas.microsoft.com/office/drawing/2014/main" id="{00000000-0008-0000-0100-00006A010000}"/>
                </a:ext>
              </a:extLst>
            </xdr:cNvPr>
            <xdr:cNvSpPr/>
          </xdr:nvSpPr>
          <xdr:spPr>
            <a:xfrm>
              <a:off x="10195633" y="2339324"/>
              <a:ext cx="2490848" cy="228109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en-US" sz="900" b="0" i="0" u="none" strike="noStrike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Distribuição Percentual</a:t>
              </a:r>
            </a:p>
          </xdr:txBody>
        </xdr:sp>
        <xdr:pic>
          <xdr:nvPicPr>
            <xdr:cNvPr id="364" name="Imagem 363">
              <a:extLst>
                <a:ext uri="{FF2B5EF4-FFF2-40B4-BE49-F238E27FC236}">
                  <a16:creationId xmlns:a16="http://schemas.microsoft.com/office/drawing/2014/main" id="{00000000-0008-0000-0100-00006C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4">
              <a:extLst>
                <a:ext uri="{BEBA8EAE-BF5A-486C-A8C5-ECC9F3942E4B}">
                  <a14:imgProps xmlns:a14="http://schemas.microsoft.com/office/drawing/2010/main">
                    <a14:imgLayer r:embed="rId35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rcRect/>
            <a:stretch/>
          </xdr:blipFill>
          <xdr:spPr>
            <a:xfrm>
              <a:off x="8541112" y="2345765"/>
              <a:ext cx="213778" cy="215228"/>
            </a:xfrm>
            <a:prstGeom prst="rect">
              <a:avLst/>
            </a:prstGeom>
          </xdr:spPr>
        </xdr:pic>
        <xdr:pic>
          <xdr:nvPicPr>
            <xdr:cNvPr id="365" name="Imagem 364">
              <a:extLst>
                <a:ext uri="{FF2B5EF4-FFF2-40B4-BE49-F238E27FC236}">
                  <a16:creationId xmlns:a16="http://schemas.microsoft.com/office/drawing/2014/main" id="{00000000-0008-0000-0100-00006D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8"/>
            <a:srcRect/>
            <a:stretch/>
          </xdr:blipFill>
          <xdr:spPr>
            <a:xfrm>
              <a:off x="9675462" y="805477"/>
              <a:ext cx="180244" cy="182174"/>
            </a:xfrm>
            <a:prstGeom prst="rect">
              <a:avLst/>
            </a:prstGeom>
          </xdr:spPr>
        </xdr:pic>
        <xdr:pic>
          <xdr:nvPicPr>
            <xdr:cNvPr id="366" name="Imagem 365">
              <a:extLst>
                <a:ext uri="{FF2B5EF4-FFF2-40B4-BE49-F238E27FC236}">
                  <a16:creationId xmlns:a16="http://schemas.microsoft.com/office/drawing/2014/main" id="{00000000-0008-0000-0100-00006E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9"/>
            <a:srcRect/>
            <a:stretch/>
          </xdr:blipFill>
          <xdr:spPr>
            <a:xfrm>
              <a:off x="10600967" y="2345766"/>
              <a:ext cx="216293" cy="215228"/>
            </a:xfrm>
            <a:prstGeom prst="rect">
              <a:avLst/>
            </a:prstGeom>
          </xdr:spPr>
        </xdr:pic>
        <xdr:pic>
          <xdr:nvPicPr>
            <xdr:cNvPr id="367" name="Imagem 366">
              <a:extLst>
                <a:ext uri="{FF2B5EF4-FFF2-40B4-BE49-F238E27FC236}">
                  <a16:creationId xmlns:a16="http://schemas.microsoft.com/office/drawing/2014/main" id="{00000000-0008-0000-0100-00006F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12070347" y="1348671"/>
              <a:ext cx="563405" cy="203372"/>
            </a:xfrm>
            <a:prstGeom prst="rect">
              <a:avLst/>
            </a:prstGeom>
          </xdr:spPr>
        </xdr:pic>
        <xdr:grpSp>
          <xdr:nvGrpSpPr>
            <xdr:cNvPr id="459" name="Agrupar 458">
              <a:extLst>
                <a:ext uri="{FF2B5EF4-FFF2-40B4-BE49-F238E27FC236}">
                  <a16:creationId xmlns:a16="http://schemas.microsoft.com/office/drawing/2014/main" id="{00000000-0008-0000-0100-0000CB010000}"/>
                </a:ext>
              </a:extLst>
            </xdr:cNvPr>
            <xdr:cNvGrpSpPr/>
          </xdr:nvGrpSpPr>
          <xdr:grpSpPr>
            <a:xfrm>
              <a:off x="8494441" y="1644856"/>
              <a:ext cx="4212566" cy="514139"/>
              <a:chOff x="8494441" y="1644855"/>
              <a:chExt cx="4212566" cy="514138"/>
            </a:xfrm>
          </xdr:grpSpPr>
          <xdr:grpSp>
            <xdr:nvGrpSpPr>
              <xdr:cNvPr id="456" name="Agrupar 455">
                <a:extLst>
                  <a:ext uri="{FF2B5EF4-FFF2-40B4-BE49-F238E27FC236}">
                    <a16:creationId xmlns:a16="http://schemas.microsoft.com/office/drawing/2014/main" id="{00000000-0008-0000-0100-0000C8010000}"/>
                  </a:ext>
                </a:extLst>
              </xdr:cNvPr>
              <xdr:cNvGrpSpPr/>
            </xdr:nvGrpSpPr>
            <xdr:grpSpPr>
              <a:xfrm>
                <a:off x="8494441" y="1644855"/>
                <a:ext cx="4212566" cy="219129"/>
                <a:chOff x="8494441" y="1644855"/>
                <a:chExt cx="4212566" cy="219129"/>
              </a:xfrm>
            </xdr:grpSpPr>
            <xdr:sp macro="" textlink="AXD!Y4">
              <xdr:nvSpPr>
                <xdr:cNvPr id="14" name="Retângulo 13">
                  <a:extLst>
                    <a:ext uri="{FF2B5EF4-FFF2-40B4-BE49-F238E27FC236}">
                      <a16:creationId xmlns:a16="http://schemas.microsoft.com/office/drawing/2014/main" id="{00000000-0008-0000-0100-00000E000000}"/>
                    </a:ext>
                  </a:extLst>
                </xdr:cNvPr>
                <xdr:cNvSpPr/>
              </xdr:nvSpPr>
              <xdr:spPr>
                <a:xfrm>
                  <a:off x="8494441" y="1644855"/>
                  <a:ext cx="717815" cy="21912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BBDB4CF2-652A-483A-9359-FE3E70DFC1EB}" type="TxLink">
                    <a:rPr lang="en-US" sz="10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2.611 peças</a:t>
                  </a:fld>
                  <a:endParaRPr lang="pt-BR" sz="1000" b="1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Y7">
              <xdr:nvSpPr>
                <xdr:cNvPr id="23" name="Retângulo 22">
                  <a:extLst>
                    <a:ext uri="{FF2B5EF4-FFF2-40B4-BE49-F238E27FC236}">
                      <a16:creationId xmlns:a16="http://schemas.microsoft.com/office/drawing/2014/main" id="{00000000-0008-0000-0100-000017000000}"/>
                    </a:ext>
                  </a:extLst>
                </xdr:cNvPr>
                <xdr:cNvSpPr/>
              </xdr:nvSpPr>
              <xdr:spPr>
                <a:xfrm>
                  <a:off x="9366516" y="1644855"/>
                  <a:ext cx="717814" cy="21912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8F3794D3-130B-4EBE-B2FA-EEBEC22F2D89}" type="TxLink">
                    <a:rPr lang="en-US" sz="10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25 peças</a:t>
                  </a:fld>
                  <a:endParaRPr lang="pt-BR" sz="1000" b="1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Y21">
              <xdr:nvSpPr>
                <xdr:cNvPr id="32" name="Retângulo 31">
                  <a:extLst>
                    <a:ext uri="{FF2B5EF4-FFF2-40B4-BE49-F238E27FC236}">
                      <a16:creationId xmlns:a16="http://schemas.microsoft.com/office/drawing/2014/main" id="{00000000-0008-0000-0100-000020000000}"/>
                    </a:ext>
                  </a:extLst>
                </xdr:cNvPr>
                <xdr:cNvSpPr/>
              </xdr:nvSpPr>
              <xdr:spPr>
                <a:xfrm>
                  <a:off x="11117821" y="1644855"/>
                  <a:ext cx="715627" cy="21912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4F1E1BBF-1EBC-4462-90AA-FF2616983D9D}" type="TxLink">
                    <a:rPr lang="en-US" sz="10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6 peças</a:t>
                  </a:fld>
                  <a:endParaRPr lang="pt-BR" sz="1000" b="1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Y14">
              <xdr:nvSpPr>
                <xdr:cNvPr id="41" name="Retângulo 40">
                  <a:extLst>
                    <a:ext uri="{FF2B5EF4-FFF2-40B4-BE49-F238E27FC236}">
                      <a16:creationId xmlns:a16="http://schemas.microsoft.com/office/drawing/2014/main" id="{00000000-0008-0000-0100-000029000000}"/>
                    </a:ext>
                  </a:extLst>
                </xdr:cNvPr>
                <xdr:cNvSpPr/>
              </xdr:nvSpPr>
              <xdr:spPr>
                <a:xfrm>
                  <a:off x="10240074" y="1644855"/>
                  <a:ext cx="717814" cy="21912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07BE0DBD-2701-452F-AF66-A56B5DD6C138}" type="TxLink">
                    <a:rPr lang="en-US" sz="10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64 peças</a:t>
                  </a:fld>
                  <a:endParaRPr lang="pt-BR" sz="1000" b="1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Y29">
              <xdr:nvSpPr>
                <xdr:cNvPr id="149" name="Retângulo 148">
                  <a:extLst>
                    <a:ext uri="{FF2B5EF4-FFF2-40B4-BE49-F238E27FC236}">
                      <a16:creationId xmlns:a16="http://schemas.microsoft.com/office/drawing/2014/main" id="{00000000-0008-0000-0100-000095000000}"/>
                    </a:ext>
                  </a:extLst>
                </xdr:cNvPr>
                <xdr:cNvSpPr/>
              </xdr:nvSpPr>
              <xdr:spPr>
                <a:xfrm>
                  <a:off x="11989193" y="1644855"/>
                  <a:ext cx="717814" cy="21912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2128DA72-9B41-460A-89F7-1933E6288C55}" type="TxLink">
                    <a:rPr lang="en-US" sz="10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9 peças</a:t>
                  </a:fld>
                  <a:endParaRPr lang="pt-BR" sz="1000" b="1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</xdr:grpSp>
          <xdr:grpSp>
            <xdr:nvGrpSpPr>
              <xdr:cNvPr id="457" name="Agrupar 456">
                <a:extLst>
                  <a:ext uri="{FF2B5EF4-FFF2-40B4-BE49-F238E27FC236}">
                    <a16:creationId xmlns:a16="http://schemas.microsoft.com/office/drawing/2014/main" id="{00000000-0008-0000-0100-0000C9010000}"/>
                  </a:ext>
                </a:extLst>
              </xdr:cNvPr>
              <xdr:cNvGrpSpPr/>
            </xdr:nvGrpSpPr>
            <xdr:grpSpPr>
              <a:xfrm>
                <a:off x="8494441" y="1831878"/>
                <a:ext cx="4212566" cy="178414"/>
                <a:chOff x="8494441" y="1831878"/>
                <a:chExt cx="4212566" cy="178414"/>
              </a:xfrm>
            </xdr:grpSpPr>
            <xdr:sp macro="" textlink="AXD!Y3">
              <xdr:nvSpPr>
                <xdr:cNvPr id="15" name="Retângulo 14">
                  <a:extLst>
                    <a:ext uri="{FF2B5EF4-FFF2-40B4-BE49-F238E27FC236}">
                      <a16:creationId xmlns:a16="http://schemas.microsoft.com/office/drawing/2014/main" id="{00000000-0008-0000-0100-00000F000000}"/>
                    </a:ext>
                  </a:extLst>
                </xdr:cNvPr>
                <xdr:cNvSpPr/>
              </xdr:nvSpPr>
              <xdr:spPr>
                <a:xfrm>
                  <a:off x="8494441" y="1831878"/>
                  <a:ext cx="717815" cy="1784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F4BFE04A-2C29-490E-9031-84A0CA56BEDE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163,17 m²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Z6">
              <xdr:nvSpPr>
                <xdr:cNvPr id="24" name="Retângulo 23">
                  <a:extLst>
                    <a:ext uri="{FF2B5EF4-FFF2-40B4-BE49-F238E27FC236}">
                      <a16:creationId xmlns:a16="http://schemas.microsoft.com/office/drawing/2014/main" id="{00000000-0008-0000-0100-000018000000}"/>
                    </a:ext>
                  </a:extLst>
                </xdr:cNvPr>
                <xdr:cNvSpPr/>
              </xdr:nvSpPr>
              <xdr:spPr>
                <a:xfrm>
                  <a:off x="9366516" y="1831878"/>
                  <a:ext cx="717814" cy="1784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E2FFEE44-AFEF-4A32-81AD-5B6A9250B283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535,00 m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Z20">
              <xdr:nvSpPr>
                <xdr:cNvPr id="33" name="Retângulo 32">
                  <a:extLst>
                    <a:ext uri="{FF2B5EF4-FFF2-40B4-BE49-F238E27FC236}">
                      <a16:creationId xmlns:a16="http://schemas.microsoft.com/office/drawing/2014/main" id="{00000000-0008-0000-0100-000021000000}"/>
                    </a:ext>
                  </a:extLst>
                </xdr:cNvPr>
                <xdr:cNvSpPr/>
              </xdr:nvSpPr>
              <xdr:spPr>
                <a:xfrm>
                  <a:off x="11117821" y="1831878"/>
                  <a:ext cx="715627" cy="1784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86DFD43B-9ECE-460D-B74E-A308994EB1DE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128,40 m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Z12">
              <xdr:nvSpPr>
                <xdr:cNvPr id="42" name="Retângulo 41">
                  <a:extLst>
                    <a:ext uri="{FF2B5EF4-FFF2-40B4-BE49-F238E27FC236}">
                      <a16:creationId xmlns:a16="http://schemas.microsoft.com/office/drawing/2014/main" id="{00000000-0008-0000-0100-00002A000000}"/>
                    </a:ext>
                  </a:extLst>
                </xdr:cNvPr>
                <xdr:cNvSpPr/>
              </xdr:nvSpPr>
              <xdr:spPr>
                <a:xfrm>
                  <a:off x="10240074" y="1831878"/>
                  <a:ext cx="717814" cy="1784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878FDFF2-4F5D-4A5F-9B23-B040A394098F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244,00 m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Z28">
              <xdr:nvSpPr>
                <xdr:cNvPr id="150" name="Retângulo 149">
                  <a:extLst>
                    <a:ext uri="{FF2B5EF4-FFF2-40B4-BE49-F238E27FC236}">
                      <a16:creationId xmlns:a16="http://schemas.microsoft.com/office/drawing/2014/main" id="{00000000-0008-0000-0100-000096000000}"/>
                    </a:ext>
                  </a:extLst>
                </xdr:cNvPr>
                <xdr:cNvSpPr/>
              </xdr:nvSpPr>
              <xdr:spPr>
                <a:xfrm>
                  <a:off x="11989193" y="1831878"/>
                  <a:ext cx="717814" cy="1784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8DDFDDAB-1C5C-4B65-A9D5-C33F9297E655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144,31 m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</xdr:grpSp>
          <xdr:grpSp>
            <xdr:nvGrpSpPr>
              <xdr:cNvPr id="458" name="Agrupar 457">
                <a:extLst>
                  <a:ext uri="{FF2B5EF4-FFF2-40B4-BE49-F238E27FC236}">
                    <a16:creationId xmlns:a16="http://schemas.microsoft.com/office/drawing/2014/main" id="{00000000-0008-0000-0100-0000CA010000}"/>
                  </a:ext>
                </a:extLst>
              </xdr:cNvPr>
              <xdr:cNvGrpSpPr/>
            </xdr:nvGrpSpPr>
            <xdr:grpSpPr>
              <a:xfrm>
                <a:off x="8494441" y="1980879"/>
                <a:ext cx="4212566" cy="178114"/>
                <a:chOff x="8494441" y="1980879"/>
                <a:chExt cx="4212566" cy="178114"/>
              </a:xfrm>
            </xdr:grpSpPr>
            <xdr:sp macro="" textlink="AXD!AA3">
              <xdr:nvSpPr>
                <xdr:cNvPr id="16" name="Retângulo 15">
                  <a:extLst>
                    <a:ext uri="{FF2B5EF4-FFF2-40B4-BE49-F238E27FC236}">
                      <a16:creationId xmlns:a16="http://schemas.microsoft.com/office/drawing/2014/main" id="{00000000-0008-0000-0100-000010000000}"/>
                    </a:ext>
                  </a:extLst>
                </xdr:cNvPr>
                <xdr:cNvSpPr/>
              </xdr:nvSpPr>
              <xdr:spPr>
                <a:xfrm>
                  <a:off x="8494441" y="1980879"/>
                  <a:ext cx="717815" cy="1781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A2E02577-B6A9-47CE-A572-57E6D327C1F1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R$1.566,60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AA6">
              <xdr:nvSpPr>
                <xdr:cNvPr id="19" name="Retângulo 18">
                  <a:extLst>
                    <a:ext uri="{FF2B5EF4-FFF2-40B4-BE49-F238E27FC236}">
                      <a16:creationId xmlns:a16="http://schemas.microsoft.com/office/drawing/2014/main" id="{00000000-0008-0000-0100-000013000000}"/>
                    </a:ext>
                  </a:extLst>
                </xdr:cNvPr>
                <xdr:cNvSpPr/>
              </xdr:nvSpPr>
              <xdr:spPr>
                <a:xfrm>
                  <a:off x="9366516" y="1980879"/>
                  <a:ext cx="717814" cy="1781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52472034-C6F8-4947-8E47-E7BA7392177F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R$9.630,00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AA20">
              <xdr:nvSpPr>
                <xdr:cNvPr id="27" name="Retângulo 26">
                  <a:extLst>
                    <a:ext uri="{FF2B5EF4-FFF2-40B4-BE49-F238E27FC236}">
                      <a16:creationId xmlns:a16="http://schemas.microsoft.com/office/drawing/2014/main" id="{00000000-0008-0000-0100-00001B000000}"/>
                    </a:ext>
                  </a:extLst>
                </xdr:cNvPr>
                <xdr:cNvSpPr/>
              </xdr:nvSpPr>
              <xdr:spPr>
                <a:xfrm>
                  <a:off x="11117821" y="1980879"/>
                  <a:ext cx="715627" cy="1781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289F3347-A6F7-4784-B63F-8FD71E1DB021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R$3.852,00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AA12">
              <xdr:nvSpPr>
                <xdr:cNvPr id="36" name="Retângulo 35">
                  <a:extLst>
                    <a:ext uri="{FF2B5EF4-FFF2-40B4-BE49-F238E27FC236}">
                      <a16:creationId xmlns:a16="http://schemas.microsoft.com/office/drawing/2014/main" id="{00000000-0008-0000-0100-000024000000}"/>
                    </a:ext>
                  </a:extLst>
                </xdr:cNvPr>
                <xdr:cNvSpPr/>
              </xdr:nvSpPr>
              <xdr:spPr>
                <a:xfrm>
                  <a:off x="10240074" y="1980879"/>
                  <a:ext cx="717814" cy="1781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6DBB992F-87FA-4589-A24F-EC5562883666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R$6.343,99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  <xdr:sp macro="" textlink="AXD!AA28">
              <xdr:nvSpPr>
                <xdr:cNvPr id="146" name="Retângulo 145">
                  <a:extLst>
                    <a:ext uri="{FF2B5EF4-FFF2-40B4-BE49-F238E27FC236}">
                      <a16:creationId xmlns:a16="http://schemas.microsoft.com/office/drawing/2014/main" id="{00000000-0008-0000-0100-000092000000}"/>
                    </a:ext>
                  </a:extLst>
                </xdr:cNvPr>
                <xdr:cNvSpPr/>
              </xdr:nvSpPr>
              <xdr:spPr>
                <a:xfrm>
                  <a:off x="11989193" y="1980879"/>
                  <a:ext cx="717814" cy="17811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0" tIns="0" rIns="0" bIns="0" rtlCol="0" anchor="t"/>
                <a:lstStyle/>
                <a:p>
                  <a:pPr algn="ctr"/>
                  <a:fld id="{B759594D-738B-4FB2-92E1-7116F0013725}" type="TxLink">
                    <a:rPr lang="en-US" sz="800" b="0" i="0" u="none" strike="noStrike">
                      <a:solidFill>
                        <a:srgbClr val="BFBFBF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pPr algn="ctr"/>
                    <a:t>R$4.329,18</a:t>
                  </a:fld>
                  <a:endParaRPr lang="pt-BR" sz="800">
                    <a:solidFill>
                      <a:srgbClr val="BFBFBF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</xdr:txBody>
            </xdr:sp>
          </xdr:grpSp>
        </xdr:grpSp>
        <xdr:graphicFrame macro="">
          <xdr:nvGraphicFramePr>
            <xdr:cNvPr id="167" name="Gráfico 166">
              <a:extLst>
                <a:ext uri="{FF2B5EF4-FFF2-40B4-BE49-F238E27FC236}">
                  <a16:creationId xmlns:a16="http://schemas.microsoft.com/office/drawing/2014/main" id="{00000000-0008-0000-0100-0000A7000000}"/>
                </a:ext>
              </a:extLst>
            </xdr:cNvPr>
            <xdr:cNvGraphicFramePr>
              <a:graphicFrameLocks/>
            </xdr:cNvGraphicFramePr>
          </xdr:nvGraphicFramePr>
          <xdr:xfrm>
            <a:off x="10025433" y="2424536"/>
            <a:ext cx="2748091" cy="60360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1"/>
            </a:graphicData>
          </a:graphic>
        </xdr:graphicFrame>
        <xdr:sp macro="" textlink="AXD!AB45">
          <xdr:nvSpPr>
            <xdr:cNvPr id="162" name="Retângulo 161">
              <a:extLst>
                <a:ext uri="{FF2B5EF4-FFF2-40B4-BE49-F238E27FC236}">
                  <a16:creationId xmlns:a16="http://schemas.microsoft.com/office/drawing/2014/main" id="{00000000-0008-0000-0100-0000A2000000}"/>
                </a:ext>
              </a:extLst>
            </xdr:cNvPr>
            <xdr:cNvSpPr/>
          </xdr:nvSpPr>
          <xdr:spPr>
            <a:xfrm>
              <a:off x="8535308" y="2542983"/>
              <a:ext cx="1550996" cy="41837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rIns="0" rtlCol="0" anchor="t"/>
            <a:lstStyle/>
            <a:p>
              <a:pPr algn="l"/>
              <a:fld id="{140AA23A-20A8-43FD-BF6C-1BD8556E83D0}" type="TxLink">
                <a:rPr lang="en-US" sz="1800" b="1" i="0" u="none" strike="noStrike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pPr algn="l"/>
                <a:t>R$ 25.721,77</a:t>
              </a:fld>
              <a:endParaRPr lang="pt-BR" sz="9600" b="1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  <xdr:cxnSp macro="">
        <xdr:nvCxnSpPr>
          <xdr:cNvPr id="363" name="Conector reto 362">
            <a:extLst>
              <a:ext uri="{FF2B5EF4-FFF2-40B4-BE49-F238E27FC236}">
                <a16:creationId xmlns:a16="http://schemas.microsoft.com/office/drawing/2014/main" id="{00000000-0008-0000-0100-00006B010000}"/>
              </a:ext>
            </a:extLst>
          </xdr:cNvPr>
          <xdr:cNvCxnSpPr/>
        </xdr:nvCxnSpPr>
        <xdr:spPr>
          <a:xfrm>
            <a:off x="9986111" y="2406638"/>
            <a:ext cx="0" cy="585652"/>
          </a:xfrm>
          <a:prstGeom prst="line">
            <a:avLst/>
          </a:prstGeom>
          <a:ln w="12700" cap="rnd">
            <a:solidFill>
              <a:schemeClr val="bg1"/>
            </a:solidFill>
            <a:round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3" name="Retângulo: Cantos Arredondados 452">
            <a:extLst>
              <a:ext uri="{FF2B5EF4-FFF2-40B4-BE49-F238E27FC236}">
                <a16:creationId xmlns:a16="http://schemas.microsoft.com/office/drawing/2014/main" id="{00000000-0008-0000-0100-0000C5010000}"/>
              </a:ext>
            </a:extLst>
          </xdr:cNvPr>
          <xdr:cNvSpPr/>
        </xdr:nvSpPr>
        <xdr:spPr>
          <a:xfrm flipV="1">
            <a:off x="10143890" y="2729069"/>
            <a:ext cx="2557463" cy="120056"/>
          </a:xfrm>
          <a:prstGeom prst="roundRect">
            <a:avLst>
              <a:gd name="adj" fmla="val 50000"/>
            </a:avLst>
          </a:prstGeom>
          <a:noFill/>
          <a:ln w="381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10</xdr:col>
      <xdr:colOff>345104</xdr:colOff>
      <xdr:row>20</xdr:row>
      <xdr:rowOff>68643</xdr:rowOff>
    </xdr:from>
    <xdr:to>
      <xdr:col>25</xdr:col>
      <xdr:colOff>13427</xdr:colOff>
      <xdr:row>22</xdr:row>
      <xdr:rowOff>95325</xdr:rowOff>
    </xdr:to>
    <xdr:sp macro="" textlink="">
      <xdr:nvSpPr>
        <xdr:cNvPr id="495" name="Retângulo 494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/>
      </xdr:nvSpPr>
      <xdr:spPr>
        <a:xfrm>
          <a:off x="3599479" y="3198286"/>
          <a:ext cx="8853144" cy="24212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Verificações</a:t>
          </a:r>
        </a:p>
      </xdr:txBody>
    </xdr:sp>
    <xdr:clientData/>
  </xdr:twoCellAnchor>
  <xdr:twoCellAnchor>
    <xdr:from>
      <xdr:col>16</xdr:col>
      <xdr:colOff>482582</xdr:colOff>
      <xdr:row>20</xdr:row>
      <xdr:rowOff>132757</xdr:rowOff>
    </xdr:from>
    <xdr:to>
      <xdr:col>17</xdr:col>
      <xdr:colOff>51185</xdr:colOff>
      <xdr:row>22</xdr:row>
      <xdr:rowOff>107985</xdr:rowOff>
    </xdr:to>
    <xdr:pic>
      <xdr:nvPicPr>
        <xdr:cNvPr id="496" name="Imagem 495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/>
        <a:stretch/>
      </xdr:blipFill>
      <xdr:spPr>
        <a:xfrm>
          <a:off x="7410886" y="3262400"/>
          <a:ext cx="180924" cy="190674"/>
        </a:xfrm>
        <a:prstGeom prst="rect">
          <a:avLst/>
        </a:prstGeom>
      </xdr:spPr>
    </xdr:pic>
    <xdr:clientData/>
  </xdr:twoCellAnchor>
  <xdr:twoCellAnchor>
    <xdr:from>
      <xdr:col>10</xdr:col>
      <xdr:colOff>358905</xdr:colOff>
      <xdr:row>23</xdr:row>
      <xdr:rowOff>37165</xdr:rowOff>
    </xdr:from>
    <xdr:to>
      <xdr:col>14</xdr:col>
      <xdr:colOff>14262</xdr:colOff>
      <xdr:row>58</xdr:row>
      <xdr:rowOff>9829</xdr:rowOff>
    </xdr:to>
    <xdr:sp macro="" textlink="">
      <xdr:nvSpPr>
        <xdr:cNvPr id="466" name="Retângulo: Cantos Arredondados 46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/>
      </xdr:nvSpPr>
      <xdr:spPr>
        <a:xfrm>
          <a:off x="3625980" y="3599515"/>
          <a:ext cx="2093757" cy="5125689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506404</xdr:colOff>
      <xdr:row>23</xdr:row>
      <xdr:rowOff>36974</xdr:rowOff>
    </xdr:from>
    <xdr:to>
      <xdr:col>13</xdr:col>
      <xdr:colOff>476364</xdr:colOff>
      <xdr:row>24</xdr:row>
      <xdr:rowOff>79564</xdr:rowOff>
    </xdr:to>
    <xdr:sp macro="" textlink="">
      <xdr:nvSpPr>
        <xdr:cNvPr id="467" name="Retângulo 466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/>
      </xdr:nvSpPr>
      <xdr:spPr>
        <a:xfrm>
          <a:off x="3773479" y="3599324"/>
          <a:ext cx="1798760" cy="2902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Ripas</a:t>
          </a:r>
        </a:p>
      </xdr:txBody>
    </xdr:sp>
    <xdr:clientData/>
  </xdr:twoCellAnchor>
  <xdr:twoCellAnchor>
    <xdr:from>
      <xdr:col>10</xdr:col>
      <xdr:colOff>416467</xdr:colOff>
      <xdr:row>24</xdr:row>
      <xdr:rowOff>35435</xdr:rowOff>
    </xdr:from>
    <xdr:to>
      <xdr:col>13</xdr:col>
      <xdr:colOff>566303</xdr:colOff>
      <xdr:row>26</xdr:row>
      <xdr:rowOff>49803</xdr:rowOff>
    </xdr:to>
    <xdr:sp macro="" textlink="">
      <xdr:nvSpPr>
        <xdr:cNvPr id="468" name="Retângulo 467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/>
      </xdr:nvSpPr>
      <xdr:spPr>
        <a:xfrm>
          <a:off x="3683542" y="3845435"/>
          <a:ext cx="1978636" cy="2620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Solicitação</a:t>
          </a:r>
          <a:r>
            <a:rPr lang="pt-BR" sz="1050" b="1" baseline="0">
              <a:solidFill>
                <a:schemeClr val="bg1">
                  <a:lumMod val="85000"/>
                </a:schemeClr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t> mais Crítica</a:t>
          </a:r>
          <a:endParaRPr lang="pt-BR" sz="800">
            <a:solidFill>
              <a:schemeClr val="bg1">
                <a:lumMod val="85000"/>
              </a:schemeClr>
            </a:solidFill>
            <a:effectLst/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11</xdr:col>
      <xdr:colOff>90084</xdr:colOff>
      <xdr:row>36</xdr:row>
      <xdr:rowOff>8087</xdr:rowOff>
    </xdr:from>
    <xdr:to>
      <xdr:col>13</xdr:col>
      <xdr:colOff>283087</xdr:colOff>
      <xdr:row>38</xdr:row>
      <xdr:rowOff>11880</xdr:rowOff>
    </xdr:to>
    <xdr:grpSp>
      <xdr:nvGrpSpPr>
        <xdr:cNvPr id="392" name="Agrupar 39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GrpSpPr/>
      </xdr:nvGrpSpPr>
      <xdr:grpSpPr>
        <a:xfrm>
          <a:off x="4067724" y="5540207"/>
          <a:ext cx="1442683" cy="316213"/>
          <a:chOff x="10708795" y="5420478"/>
          <a:chExt cx="1378618" cy="332121"/>
        </a:xfrm>
      </xdr:grpSpPr>
      <xdr:sp macro="" textlink="">
        <xdr:nvSpPr>
          <xdr:cNvPr id="393" name="Retângulo: Cantos Arredondados 392">
            <a:extLst>
              <a:ext uri="{FF2B5EF4-FFF2-40B4-BE49-F238E27FC236}">
                <a16:creationId xmlns:a16="http://schemas.microsoft.com/office/drawing/2014/main" id="{00000000-0008-0000-0100-000089010000}"/>
              </a:ext>
            </a:extLst>
          </xdr:cNvPr>
          <xdr:cNvSpPr/>
        </xdr:nvSpPr>
        <xdr:spPr>
          <a:xfrm>
            <a:off x="10708795" y="5420478"/>
            <a:ext cx="1378618" cy="332121"/>
          </a:xfrm>
          <a:prstGeom prst="roundRect">
            <a:avLst>
              <a:gd name="adj" fmla="val 17396"/>
            </a:avLst>
          </a:prstGeom>
          <a:solidFill>
            <a:srgbClr val="1D2125"/>
          </a:solidFill>
          <a:ln w="19050">
            <a:gradFill flip="none" rotWithShape="1">
              <a:gsLst>
                <a:gs pos="0">
                  <a:srgbClr val="FF2929"/>
                </a:gs>
                <a:gs pos="100000">
                  <a:srgbClr val="FD3F0B"/>
                </a:gs>
              </a:gsLst>
              <a:lin ang="18900000" scaled="1"/>
              <a:tileRect/>
            </a:gra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394" name="Retângulo: Cantos Superiores Arredondados 393">
            <a:extLst>
              <a:ext uri="{FF2B5EF4-FFF2-40B4-BE49-F238E27FC236}">
                <a16:creationId xmlns:a16="http://schemas.microsoft.com/office/drawing/2014/main" id="{00000000-0008-0000-0100-00008A010000}"/>
              </a:ext>
            </a:extLst>
          </xdr:cNvPr>
          <xdr:cNvSpPr/>
        </xdr:nvSpPr>
        <xdr:spPr>
          <a:xfrm>
            <a:off x="10708795" y="5422484"/>
            <a:ext cx="1378618" cy="148388"/>
          </a:xfrm>
          <a:prstGeom prst="round2SameRect">
            <a:avLst>
              <a:gd name="adj1" fmla="val 40068"/>
              <a:gd name="adj2" fmla="val 0"/>
            </a:avLst>
          </a:prstGeom>
          <a:gradFill>
            <a:gsLst>
              <a:gs pos="100000">
                <a:srgbClr val="FD3F0B"/>
              </a:gs>
              <a:gs pos="0">
                <a:srgbClr val="FF2929"/>
              </a:gs>
            </a:gsLst>
            <a:lin ang="0" scaled="0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11</xdr:col>
      <xdr:colOff>221736</xdr:colOff>
      <xdr:row>27</xdr:row>
      <xdr:rowOff>46184</xdr:rowOff>
    </xdr:from>
    <xdr:to>
      <xdr:col>13</xdr:col>
      <xdr:colOff>151431</xdr:colOff>
      <xdr:row>35</xdr:row>
      <xdr:rowOff>151478</xdr:rowOff>
    </xdr:to>
    <xdr:graphicFrame macro="">
      <xdr:nvGraphicFramePr>
        <xdr:cNvPr id="47" name="Gráfico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11</xdr:col>
      <xdr:colOff>256293</xdr:colOff>
      <xdr:row>29</xdr:row>
      <xdr:rowOff>6523</xdr:rowOff>
    </xdr:from>
    <xdr:to>
      <xdr:col>13</xdr:col>
      <xdr:colOff>116873</xdr:colOff>
      <xdr:row>33</xdr:row>
      <xdr:rowOff>181403</xdr:rowOff>
    </xdr:to>
    <xdr:sp macro="" textlink="AXD!J10">
      <xdr:nvSpPr>
        <xdr:cNvPr id="48" name="Retângulo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4139188" y="4492020"/>
          <a:ext cx="1075504" cy="7288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marL="0" indent="0" algn="ctr"/>
          <a:fld id="{9497BFBB-4EC6-439E-8C64-3A495EB2D008}" type="TxLink">
            <a:rPr lang="en-US" sz="20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rPr>
            <a:pPr marL="0" indent="0" algn="ctr"/>
            <a:t>152%</a:t>
          </a:fld>
          <a:endParaRPr lang="pt-BR" sz="2000" b="0" i="0" u="none" strike="noStrike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501894</xdr:colOff>
      <xdr:row>35</xdr:row>
      <xdr:rowOff>141541</xdr:rowOff>
    </xdr:from>
    <xdr:to>
      <xdr:col>13</xdr:col>
      <xdr:colOff>475935</xdr:colOff>
      <xdr:row>37</xdr:row>
      <xdr:rowOff>134574</xdr:rowOff>
    </xdr:to>
    <xdr:sp macro="" textlink="AXD!Q10">
      <xdr:nvSpPr>
        <xdr:cNvPr id="49" name="Retângulo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3777328" y="5428888"/>
          <a:ext cx="1796426" cy="24087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FBCC18F-1F64-4B81-A471-8DF5C92CA7D4}" type="TxLink">
            <a:rPr lang="en-US" sz="900" b="0" i="0" u="none" strike="noStrike">
              <a:solidFill>
                <a:srgbClr val="1D2125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Solicitação 0,35 cm</a:t>
          </a:fld>
          <a:endParaRPr lang="pt-BR" sz="900" b="0">
            <a:solidFill>
              <a:srgbClr val="1D2125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358904</xdr:colOff>
      <xdr:row>25</xdr:row>
      <xdr:rowOff>22718</xdr:rowOff>
    </xdr:from>
    <xdr:to>
      <xdr:col>14</xdr:col>
      <xdr:colOff>14366</xdr:colOff>
      <xdr:row>28</xdr:row>
      <xdr:rowOff>101777</xdr:rowOff>
    </xdr:to>
    <xdr:sp macro="" textlink="AXD!L10">
      <xdr:nvSpPr>
        <xdr:cNvPr id="69" name="Retângulo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3634338" y="4012527"/>
          <a:ext cx="2085309" cy="3852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ctr"/>
        <a:lstStyle/>
        <a:p>
          <a:pPr algn="ctr"/>
          <a:fld id="{AF2BA00D-9CC1-4C55-85AE-9B2B8BF1B69F}" type="TxLink">
            <a:rPr lang="en-US" sz="10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Deslocamento</a:t>
          </a:fld>
          <a:endParaRPr lang="pt-BR" sz="10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501894</xdr:colOff>
      <xdr:row>37</xdr:row>
      <xdr:rowOff>37349</xdr:rowOff>
    </xdr:from>
    <xdr:to>
      <xdr:col>13</xdr:col>
      <xdr:colOff>475935</xdr:colOff>
      <xdr:row>38</xdr:row>
      <xdr:rowOff>15406</xdr:rowOff>
    </xdr:to>
    <xdr:sp macro="" textlink="AXD!S10">
      <xdr:nvSpPr>
        <xdr:cNvPr id="519" name="Retângulo 518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/>
      </xdr:nvSpPr>
      <xdr:spPr>
        <a:xfrm>
          <a:off x="3777328" y="5572540"/>
          <a:ext cx="1796426" cy="22590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38C0CEEE-BF3E-424B-B478-C725933F7FCE}" type="TxLink">
            <a:rPr lang="en-US" sz="900" b="0" i="0" u="none" strike="noStrike">
              <a:gradFill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0" scaled="0"/>
              </a:gra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Resistência 0,23 cm</a:t>
          </a:fld>
          <a:endParaRPr lang="pt-BR" sz="700" b="0">
            <a:gradFill>
              <a:gsLst>
                <a:gs pos="100000">
                  <a:srgbClr val="FD3F0B"/>
                </a:gs>
                <a:gs pos="0">
                  <a:srgbClr val="FF2929"/>
                </a:gs>
              </a:gsLst>
              <a:lin ang="0" scaled="0"/>
            </a:gra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416466</xdr:colOff>
      <xdr:row>38</xdr:row>
      <xdr:rowOff>134075</xdr:rowOff>
    </xdr:from>
    <xdr:to>
      <xdr:col>13</xdr:col>
      <xdr:colOff>566302</xdr:colOff>
      <xdr:row>40</xdr:row>
      <xdr:rowOff>54351</xdr:rowOff>
    </xdr:to>
    <xdr:sp macro="" textlink="">
      <xdr:nvSpPr>
        <xdr:cNvPr id="473" name="Retângulo 472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/>
      </xdr:nvSpPr>
      <xdr:spPr>
        <a:xfrm>
          <a:off x="3693066" y="5936705"/>
          <a:ext cx="1978636" cy="1679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spc="70" baseline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Verificações</a:t>
          </a:r>
          <a:endParaRPr lang="pt-BR" sz="1000" b="1" spc="70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359125</xdr:colOff>
      <xdr:row>40</xdr:row>
      <xdr:rowOff>72480</xdr:rowOff>
    </xdr:from>
    <xdr:to>
      <xdr:col>14</xdr:col>
      <xdr:colOff>13647</xdr:colOff>
      <xdr:row>49</xdr:row>
      <xdr:rowOff>116951</xdr:rowOff>
    </xdr:to>
    <xdr:grpSp>
      <xdr:nvGrpSpPr>
        <xdr:cNvPr id="53" name="Agrupar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pSpPr/>
      </xdr:nvGrpSpPr>
      <xdr:grpSpPr>
        <a:xfrm>
          <a:off x="3711925" y="6168480"/>
          <a:ext cx="2153882" cy="1301771"/>
          <a:chOff x="3626200" y="6111330"/>
          <a:chExt cx="2092922" cy="1292246"/>
        </a:xfrm>
      </xdr:grpSpPr>
      <xdr:grpSp>
        <xdr:nvGrpSpPr>
          <xdr:cNvPr id="30" name="Agrupar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GrpSpPr/>
        </xdr:nvGrpSpPr>
        <xdr:grpSpPr>
          <a:xfrm>
            <a:off x="3626200" y="6111330"/>
            <a:ext cx="2092922" cy="1292246"/>
            <a:chOff x="3626200" y="6111334"/>
            <a:chExt cx="2092916" cy="1292280"/>
          </a:xfrm>
        </xdr:grpSpPr>
        <xdr:graphicFrame macro="">
          <xdr:nvGraphicFramePr>
            <xdr:cNvPr id="64" name="Gráfico 63">
              <a:extLst>
                <a:ext uri="{FF2B5EF4-FFF2-40B4-BE49-F238E27FC236}">
                  <a16:creationId xmlns:a16="http://schemas.microsoft.com/office/drawing/2014/main" id="{00000000-0008-0000-0100-000040000000}"/>
                </a:ext>
              </a:extLst>
            </xdr:cNvPr>
            <xdr:cNvGraphicFramePr/>
          </xdr:nvGraphicFramePr>
          <xdr:xfrm>
            <a:off x="3626200" y="6111334"/>
            <a:ext cx="2092916" cy="4683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4"/>
            </a:graphicData>
          </a:graphic>
        </xdr:graphicFrame>
        <xdr:graphicFrame macro="">
          <xdr:nvGraphicFramePr>
            <xdr:cNvPr id="65" name="Gráfico 64">
              <a:extLst>
                <a:ext uri="{FF2B5EF4-FFF2-40B4-BE49-F238E27FC236}">
                  <a16:creationId xmlns:a16="http://schemas.microsoft.com/office/drawing/2014/main" id="{00000000-0008-0000-0100-000041000000}"/>
                </a:ext>
              </a:extLst>
            </xdr:cNvPr>
            <xdr:cNvGraphicFramePr/>
          </xdr:nvGraphicFramePr>
          <xdr:xfrm>
            <a:off x="3626200" y="6389389"/>
            <a:ext cx="2092916" cy="4683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5"/>
            </a:graphicData>
          </a:graphic>
        </xdr:graphicFrame>
        <xdr:graphicFrame macro="">
          <xdr:nvGraphicFramePr>
            <xdr:cNvPr id="66" name="Gráfico 65">
              <a:extLst>
                <a:ext uri="{FF2B5EF4-FFF2-40B4-BE49-F238E27FC236}">
                  <a16:creationId xmlns:a16="http://schemas.microsoft.com/office/drawing/2014/main" id="{00000000-0008-0000-0100-000042000000}"/>
                </a:ext>
              </a:extLst>
            </xdr:cNvPr>
            <xdr:cNvGraphicFramePr/>
          </xdr:nvGraphicFramePr>
          <xdr:xfrm>
            <a:off x="3626200" y="6665477"/>
            <a:ext cx="2092916" cy="4683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6"/>
            </a:graphicData>
          </a:graphic>
        </xdr:graphicFrame>
        <xdr:graphicFrame macro="">
          <xdr:nvGraphicFramePr>
            <xdr:cNvPr id="67" name="Gráfico 66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GraphicFramePr/>
          </xdr:nvGraphicFramePr>
          <xdr:xfrm>
            <a:off x="3626200" y="6935222"/>
            <a:ext cx="2092916" cy="4683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7"/>
            </a:graphicData>
          </a:graphic>
        </xdr:graphicFrame>
      </xdr:grpSp>
      <xdr:grpSp>
        <xdr:nvGrpSpPr>
          <xdr:cNvPr id="18" name="Agrupar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GrpSpPr/>
        </xdr:nvGrpSpPr>
        <xdr:grpSpPr>
          <a:xfrm>
            <a:off x="3747350" y="6296074"/>
            <a:ext cx="1843526" cy="923478"/>
            <a:chOff x="3746022" y="6272907"/>
            <a:chExt cx="1846562" cy="926299"/>
          </a:xfrm>
        </xdr:grpSpPr>
        <xdr:sp macro="" textlink="">
          <xdr:nvSpPr>
            <xdr:cNvPr id="418" name="Retângulo: Cantos Arredondados 417">
              <a:extLst>
                <a:ext uri="{FF2B5EF4-FFF2-40B4-BE49-F238E27FC236}">
                  <a16:creationId xmlns:a16="http://schemas.microsoft.com/office/drawing/2014/main" id="{00000000-0008-0000-0100-0000A2010000}"/>
                </a:ext>
              </a:extLst>
            </xdr:cNvPr>
            <xdr:cNvSpPr/>
          </xdr:nvSpPr>
          <xdr:spPr>
            <a:xfrm flipV="1">
              <a:off x="3746022" y="6272907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419" name="Retângulo: Cantos Arredondados 418">
              <a:extLst>
                <a:ext uri="{FF2B5EF4-FFF2-40B4-BE49-F238E27FC236}">
                  <a16:creationId xmlns:a16="http://schemas.microsoft.com/office/drawing/2014/main" id="{00000000-0008-0000-0100-0000A3010000}"/>
                </a:ext>
              </a:extLst>
            </xdr:cNvPr>
            <xdr:cNvSpPr/>
          </xdr:nvSpPr>
          <xdr:spPr>
            <a:xfrm flipV="1">
              <a:off x="3746022" y="6549281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420" name="Retângulo: Cantos Arredondados 419">
              <a:extLst>
                <a:ext uri="{FF2B5EF4-FFF2-40B4-BE49-F238E27FC236}">
                  <a16:creationId xmlns:a16="http://schemas.microsoft.com/office/drawing/2014/main" id="{00000000-0008-0000-0100-0000A4010000}"/>
                </a:ext>
              </a:extLst>
            </xdr:cNvPr>
            <xdr:cNvSpPr/>
          </xdr:nvSpPr>
          <xdr:spPr>
            <a:xfrm flipV="1">
              <a:off x="3746022" y="6826252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421" name="Retângulo: Cantos Arredondados 420">
              <a:extLst>
                <a:ext uri="{FF2B5EF4-FFF2-40B4-BE49-F238E27FC236}">
                  <a16:creationId xmlns:a16="http://schemas.microsoft.com/office/drawing/2014/main" id="{00000000-0008-0000-0100-0000A5010000}"/>
                </a:ext>
              </a:extLst>
            </xdr:cNvPr>
            <xdr:cNvSpPr/>
          </xdr:nvSpPr>
          <xdr:spPr>
            <a:xfrm flipV="1">
              <a:off x="3746022" y="7098406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</xdr:grpSp>
    </xdr:grpSp>
    <xdr:clientData/>
  </xdr:twoCellAnchor>
  <xdr:twoCellAnchor>
    <xdr:from>
      <xdr:col>14</xdr:col>
      <xdr:colOff>146353</xdr:colOff>
      <xdr:row>40</xdr:row>
      <xdr:rowOff>72482</xdr:rowOff>
    </xdr:from>
    <xdr:to>
      <xdr:col>17</xdr:col>
      <xdr:colOff>409240</xdr:colOff>
      <xdr:row>54</xdr:row>
      <xdr:rowOff>8205</xdr:rowOff>
    </xdr:to>
    <xdr:grpSp>
      <xdr:nvGrpSpPr>
        <xdr:cNvPr id="59" name="Agrupar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GrpSpPr/>
      </xdr:nvGrpSpPr>
      <xdr:grpSpPr>
        <a:xfrm>
          <a:off x="5998513" y="6168482"/>
          <a:ext cx="2137407" cy="2076943"/>
          <a:chOff x="5851828" y="6111332"/>
          <a:chExt cx="2091687" cy="2059798"/>
        </a:xfrm>
      </xdr:grpSpPr>
      <xdr:grpSp>
        <xdr:nvGrpSpPr>
          <xdr:cNvPr id="31" name="Agrupar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GrpSpPr/>
        </xdr:nvGrpSpPr>
        <xdr:grpSpPr>
          <a:xfrm>
            <a:off x="5851828" y="6111332"/>
            <a:ext cx="2091687" cy="2059798"/>
            <a:chOff x="5841371" y="6093876"/>
            <a:chExt cx="2091288" cy="2056906"/>
          </a:xfrm>
        </xdr:grpSpPr>
        <xdr:graphicFrame macro="">
          <xdr:nvGraphicFramePr>
            <xdr:cNvPr id="198" name="Gráfico 197">
              <a:extLst>
                <a:ext uri="{FF2B5EF4-FFF2-40B4-BE49-F238E27FC236}">
                  <a16:creationId xmlns:a16="http://schemas.microsoft.com/office/drawing/2014/main" id="{00000000-0008-0000-0100-0000C600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7157100"/>
            <a:ext cx="208995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8"/>
            </a:graphicData>
          </a:graphic>
        </xdr:graphicFrame>
        <xdr:graphicFrame macro="">
          <xdr:nvGraphicFramePr>
            <xdr:cNvPr id="199" name="Gráfico 198">
              <a:extLst>
                <a:ext uri="{FF2B5EF4-FFF2-40B4-BE49-F238E27FC236}">
                  <a16:creationId xmlns:a16="http://schemas.microsoft.com/office/drawing/2014/main" id="{00000000-0008-0000-0100-0000C700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7398029"/>
            <a:ext cx="208995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9"/>
            </a:graphicData>
          </a:graphic>
        </xdr:graphicFrame>
        <xdr:graphicFrame macro="">
          <xdr:nvGraphicFramePr>
            <xdr:cNvPr id="200" name="Gráfico 199">
              <a:extLst>
                <a:ext uri="{FF2B5EF4-FFF2-40B4-BE49-F238E27FC236}">
                  <a16:creationId xmlns:a16="http://schemas.microsoft.com/office/drawing/2014/main" id="{00000000-0008-0000-0100-0000C800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6370729"/>
            <a:ext cx="209128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0"/>
            </a:graphicData>
          </a:graphic>
        </xdr:graphicFrame>
        <xdr:graphicFrame macro="">
          <xdr:nvGraphicFramePr>
            <xdr:cNvPr id="201" name="Gráfico 200">
              <a:extLst>
                <a:ext uri="{FF2B5EF4-FFF2-40B4-BE49-F238E27FC236}">
                  <a16:creationId xmlns:a16="http://schemas.microsoft.com/office/drawing/2014/main" id="{00000000-0008-0000-0100-0000C900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6645618"/>
            <a:ext cx="209128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1"/>
            </a:graphicData>
          </a:graphic>
        </xdr:graphicFrame>
        <xdr:graphicFrame macro="">
          <xdr:nvGraphicFramePr>
            <xdr:cNvPr id="202" name="Gráfico 201">
              <a:extLst>
                <a:ext uri="{FF2B5EF4-FFF2-40B4-BE49-F238E27FC236}">
                  <a16:creationId xmlns:a16="http://schemas.microsoft.com/office/drawing/2014/main" id="{00000000-0008-0000-0100-0000CA00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6916897"/>
            <a:ext cx="209128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2"/>
            </a:graphicData>
          </a:graphic>
        </xdr:graphicFrame>
        <xdr:graphicFrame macro="">
          <xdr:nvGraphicFramePr>
            <xdr:cNvPr id="203" name="Gráfico 202">
              <a:extLst>
                <a:ext uri="{FF2B5EF4-FFF2-40B4-BE49-F238E27FC236}">
                  <a16:creationId xmlns:a16="http://schemas.microsoft.com/office/drawing/2014/main" id="{00000000-0008-0000-0100-0000CB00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6093876"/>
            <a:ext cx="209128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3"/>
            </a:graphicData>
          </a:graphic>
        </xdr:graphicFrame>
        <xdr:graphicFrame macro="">
          <xdr:nvGraphicFramePr>
            <xdr:cNvPr id="29749" name="Gráfico 29748">
              <a:extLst>
                <a:ext uri="{FF2B5EF4-FFF2-40B4-BE49-F238E27FC236}">
                  <a16:creationId xmlns:a16="http://schemas.microsoft.com/office/drawing/2014/main" id="{00000000-0008-0000-0100-000035740000}"/>
                </a:ext>
              </a:extLst>
            </xdr:cNvPr>
            <xdr:cNvGraphicFramePr>
              <a:graphicFrameLocks/>
            </xdr:cNvGraphicFramePr>
          </xdr:nvGraphicFramePr>
          <xdr:xfrm>
            <a:off x="5841371" y="7682385"/>
            <a:ext cx="2089958" cy="46839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4"/>
            </a:graphicData>
          </a:graphic>
        </xdr:graphicFrame>
      </xdr:grpSp>
      <xdr:grpSp>
        <xdr:nvGrpSpPr>
          <xdr:cNvPr id="566" name="Agrupar 565">
            <a:extLst>
              <a:ext uri="{FF2B5EF4-FFF2-40B4-BE49-F238E27FC236}">
                <a16:creationId xmlns:a16="http://schemas.microsoft.com/office/drawing/2014/main" id="{00000000-0008-0000-0100-000036020000}"/>
              </a:ext>
            </a:extLst>
          </xdr:cNvPr>
          <xdr:cNvGrpSpPr/>
        </xdr:nvGrpSpPr>
        <xdr:grpSpPr>
          <a:xfrm>
            <a:off x="5974104" y="6296075"/>
            <a:ext cx="1843527" cy="1689617"/>
            <a:chOff x="3746022" y="6272907"/>
            <a:chExt cx="1846562" cy="1693023"/>
          </a:xfrm>
        </xdr:grpSpPr>
        <xdr:sp macro="" textlink="">
          <xdr:nvSpPr>
            <xdr:cNvPr id="567" name="Retângulo: Cantos Arredondados 566">
              <a:extLst>
                <a:ext uri="{FF2B5EF4-FFF2-40B4-BE49-F238E27FC236}">
                  <a16:creationId xmlns:a16="http://schemas.microsoft.com/office/drawing/2014/main" id="{00000000-0008-0000-0100-000037020000}"/>
                </a:ext>
              </a:extLst>
            </xdr:cNvPr>
            <xdr:cNvSpPr/>
          </xdr:nvSpPr>
          <xdr:spPr>
            <a:xfrm flipV="1">
              <a:off x="3746022" y="6272907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68" name="Retângulo: Cantos Arredondados 567">
              <a:extLst>
                <a:ext uri="{FF2B5EF4-FFF2-40B4-BE49-F238E27FC236}">
                  <a16:creationId xmlns:a16="http://schemas.microsoft.com/office/drawing/2014/main" id="{00000000-0008-0000-0100-000038020000}"/>
                </a:ext>
              </a:extLst>
            </xdr:cNvPr>
            <xdr:cNvSpPr/>
          </xdr:nvSpPr>
          <xdr:spPr>
            <a:xfrm flipV="1">
              <a:off x="3746022" y="6549281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69" name="Retângulo: Cantos Arredondados 568">
              <a:extLst>
                <a:ext uri="{FF2B5EF4-FFF2-40B4-BE49-F238E27FC236}">
                  <a16:creationId xmlns:a16="http://schemas.microsoft.com/office/drawing/2014/main" id="{00000000-0008-0000-0100-000039020000}"/>
                </a:ext>
              </a:extLst>
            </xdr:cNvPr>
            <xdr:cNvSpPr/>
          </xdr:nvSpPr>
          <xdr:spPr>
            <a:xfrm flipV="1">
              <a:off x="3746022" y="6826252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71" name="Retângulo: Cantos Arredondados 570">
              <a:extLst>
                <a:ext uri="{FF2B5EF4-FFF2-40B4-BE49-F238E27FC236}">
                  <a16:creationId xmlns:a16="http://schemas.microsoft.com/office/drawing/2014/main" id="{00000000-0008-0000-0100-00003B020000}"/>
                </a:ext>
              </a:extLst>
            </xdr:cNvPr>
            <xdr:cNvSpPr/>
          </xdr:nvSpPr>
          <xdr:spPr>
            <a:xfrm flipV="1">
              <a:off x="3746022" y="7098406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72" name="Retângulo: Cantos Arredondados 571">
              <a:extLst>
                <a:ext uri="{FF2B5EF4-FFF2-40B4-BE49-F238E27FC236}">
                  <a16:creationId xmlns:a16="http://schemas.microsoft.com/office/drawing/2014/main" id="{00000000-0008-0000-0100-00003C020000}"/>
                </a:ext>
              </a:extLst>
            </xdr:cNvPr>
            <xdr:cNvSpPr/>
          </xdr:nvSpPr>
          <xdr:spPr>
            <a:xfrm flipV="1">
              <a:off x="3746022" y="7338965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73" name="Retângulo: Cantos Arredondados 572">
              <a:extLst>
                <a:ext uri="{FF2B5EF4-FFF2-40B4-BE49-F238E27FC236}">
                  <a16:creationId xmlns:a16="http://schemas.microsoft.com/office/drawing/2014/main" id="{00000000-0008-0000-0100-00003D020000}"/>
                </a:ext>
              </a:extLst>
            </xdr:cNvPr>
            <xdr:cNvSpPr/>
          </xdr:nvSpPr>
          <xdr:spPr>
            <a:xfrm flipV="1">
              <a:off x="3746022" y="7579524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74" name="Retângulo: Cantos Arredondados 573">
              <a:extLst>
                <a:ext uri="{FF2B5EF4-FFF2-40B4-BE49-F238E27FC236}">
                  <a16:creationId xmlns:a16="http://schemas.microsoft.com/office/drawing/2014/main" id="{00000000-0008-0000-0100-00003E020000}"/>
                </a:ext>
              </a:extLst>
            </xdr:cNvPr>
            <xdr:cNvSpPr/>
          </xdr:nvSpPr>
          <xdr:spPr>
            <a:xfrm flipV="1">
              <a:off x="3746022" y="7865130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</xdr:grpSp>
    </xdr:grpSp>
    <xdr:clientData/>
  </xdr:twoCellAnchor>
  <xdr:twoCellAnchor>
    <xdr:from>
      <xdr:col>17</xdr:col>
      <xdr:colOff>549927</xdr:colOff>
      <xdr:row>40</xdr:row>
      <xdr:rowOff>72483</xdr:rowOff>
    </xdr:from>
    <xdr:to>
      <xdr:col>21</xdr:col>
      <xdr:colOff>204428</xdr:colOff>
      <xdr:row>51</xdr:row>
      <xdr:rowOff>2739</xdr:rowOff>
    </xdr:to>
    <xdr:grpSp>
      <xdr:nvGrpSpPr>
        <xdr:cNvPr id="91" name="Agrupar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GrpSpPr/>
      </xdr:nvGrpSpPr>
      <xdr:grpSpPr>
        <a:xfrm>
          <a:off x="8276607" y="6168483"/>
          <a:ext cx="2153861" cy="1629516"/>
          <a:chOff x="8084202" y="6111333"/>
          <a:chExt cx="2092901" cy="1616181"/>
        </a:xfrm>
      </xdr:grpSpPr>
      <xdr:grpSp>
        <xdr:nvGrpSpPr>
          <xdr:cNvPr id="34" name="Agrupar 33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GrpSpPr/>
        </xdr:nvGrpSpPr>
        <xdr:grpSpPr>
          <a:xfrm>
            <a:off x="8084202" y="6111333"/>
            <a:ext cx="2092901" cy="1616181"/>
            <a:chOff x="8073344" y="6093880"/>
            <a:chExt cx="2092383" cy="1616112"/>
          </a:xfrm>
        </xdr:grpSpPr>
        <xdr:graphicFrame macro="">
          <xdr:nvGraphicFramePr>
            <xdr:cNvPr id="136" name="Gráfico 135">
              <a:extLst>
                <a:ext uri="{FF2B5EF4-FFF2-40B4-BE49-F238E27FC236}">
                  <a16:creationId xmlns:a16="http://schemas.microsoft.com/office/drawing/2014/main" id="{00000000-0008-0000-0100-000088000000}"/>
                </a:ext>
              </a:extLst>
            </xdr:cNvPr>
            <xdr:cNvGraphicFramePr>
              <a:graphicFrameLocks/>
            </xdr:cNvGraphicFramePr>
          </xdr:nvGraphicFramePr>
          <xdr:xfrm>
            <a:off x="8073344" y="6093880"/>
            <a:ext cx="2092383" cy="46798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5"/>
            </a:graphicData>
          </a:graphic>
        </xdr:graphicFrame>
        <xdr:graphicFrame macro="">
          <xdr:nvGraphicFramePr>
            <xdr:cNvPr id="137" name="Gráfico 136">
              <a:extLst>
                <a:ext uri="{FF2B5EF4-FFF2-40B4-BE49-F238E27FC236}">
                  <a16:creationId xmlns:a16="http://schemas.microsoft.com/office/drawing/2014/main" id="{00000000-0008-0000-0100-000089000000}"/>
                </a:ext>
              </a:extLst>
            </xdr:cNvPr>
            <xdr:cNvGraphicFramePr>
              <a:graphicFrameLocks/>
            </xdr:cNvGraphicFramePr>
          </xdr:nvGraphicFramePr>
          <xdr:xfrm>
            <a:off x="8073344" y="6370734"/>
            <a:ext cx="2092383" cy="46798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6"/>
            </a:graphicData>
          </a:graphic>
        </xdr:graphicFrame>
        <xdr:graphicFrame macro="">
          <xdr:nvGraphicFramePr>
            <xdr:cNvPr id="138" name="Gráfico 137">
              <a:extLst>
                <a:ext uri="{FF2B5EF4-FFF2-40B4-BE49-F238E27FC236}">
                  <a16:creationId xmlns:a16="http://schemas.microsoft.com/office/drawing/2014/main" id="{00000000-0008-0000-0100-00008A000000}"/>
                </a:ext>
              </a:extLst>
            </xdr:cNvPr>
            <xdr:cNvGraphicFramePr>
              <a:graphicFrameLocks/>
            </xdr:cNvGraphicFramePr>
          </xdr:nvGraphicFramePr>
          <xdr:xfrm>
            <a:off x="8073344" y="6645624"/>
            <a:ext cx="2092383" cy="46798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7"/>
            </a:graphicData>
          </a:graphic>
        </xdr:graphicFrame>
        <xdr:graphicFrame macro="">
          <xdr:nvGraphicFramePr>
            <xdr:cNvPr id="139" name="Gráfico 138">
              <a:extLst>
                <a:ext uri="{FF2B5EF4-FFF2-40B4-BE49-F238E27FC236}">
                  <a16:creationId xmlns:a16="http://schemas.microsoft.com/office/drawing/2014/main" id="{00000000-0008-0000-0100-00008B000000}"/>
                </a:ext>
              </a:extLst>
            </xdr:cNvPr>
            <xdr:cNvGraphicFramePr>
              <a:graphicFrameLocks/>
            </xdr:cNvGraphicFramePr>
          </xdr:nvGraphicFramePr>
          <xdr:xfrm>
            <a:off x="8073344" y="7242012"/>
            <a:ext cx="1153304" cy="46798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8"/>
            </a:graphicData>
          </a:graphic>
        </xdr:graphicFrame>
        <xdr:graphicFrame macro="">
          <xdr:nvGraphicFramePr>
            <xdr:cNvPr id="140" name="Gráfico 139">
              <a:extLst>
                <a:ext uri="{FF2B5EF4-FFF2-40B4-BE49-F238E27FC236}">
                  <a16:creationId xmlns:a16="http://schemas.microsoft.com/office/drawing/2014/main" id="{00000000-0008-0000-0100-00008C000000}"/>
                </a:ext>
              </a:extLst>
            </xdr:cNvPr>
            <xdr:cNvGraphicFramePr>
              <a:graphicFrameLocks/>
            </xdr:cNvGraphicFramePr>
          </xdr:nvGraphicFramePr>
          <xdr:xfrm>
            <a:off x="9012422" y="7242012"/>
            <a:ext cx="1153305" cy="46798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9"/>
            </a:graphicData>
          </a:graphic>
        </xdr:graphicFrame>
        <xdr:graphicFrame macro="">
          <xdr:nvGraphicFramePr>
            <xdr:cNvPr id="141" name="Gráfico 140">
              <a:extLst>
                <a:ext uri="{FF2B5EF4-FFF2-40B4-BE49-F238E27FC236}">
                  <a16:creationId xmlns:a16="http://schemas.microsoft.com/office/drawing/2014/main" id="{00000000-0008-0000-0100-00008D000000}"/>
                </a:ext>
              </a:extLst>
            </xdr:cNvPr>
            <xdr:cNvGraphicFramePr>
              <a:graphicFrameLocks/>
            </xdr:cNvGraphicFramePr>
          </xdr:nvGraphicFramePr>
          <xdr:xfrm>
            <a:off x="8073344" y="6916903"/>
            <a:ext cx="2092383" cy="46798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0"/>
            </a:graphicData>
          </a:graphic>
        </xdr:graphicFrame>
      </xdr:grpSp>
      <xdr:grpSp>
        <xdr:nvGrpSpPr>
          <xdr:cNvPr id="583" name="Agrupar 582">
            <a:extLst>
              <a:ext uri="{FF2B5EF4-FFF2-40B4-BE49-F238E27FC236}">
                <a16:creationId xmlns:a16="http://schemas.microsoft.com/office/drawing/2014/main" id="{00000000-0008-0000-0100-000047020000}"/>
              </a:ext>
            </a:extLst>
          </xdr:cNvPr>
          <xdr:cNvGrpSpPr/>
        </xdr:nvGrpSpPr>
        <xdr:grpSpPr>
          <a:xfrm>
            <a:off x="8210113" y="6292877"/>
            <a:ext cx="1843527" cy="1250396"/>
            <a:chOff x="3746022" y="6272907"/>
            <a:chExt cx="1846562" cy="1252917"/>
          </a:xfrm>
        </xdr:grpSpPr>
        <xdr:sp macro="" textlink="">
          <xdr:nvSpPr>
            <xdr:cNvPr id="584" name="Retângulo: Cantos Arredondados 583">
              <a:extLst>
                <a:ext uri="{FF2B5EF4-FFF2-40B4-BE49-F238E27FC236}">
                  <a16:creationId xmlns:a16="http://schemas.microsoft.com/office/drawing/2014/main" id="{00000000-0008-0000-0100-000048020000}"/>
                </a:ext>
              </a:extLst>
            </xdr:cNvPr>
            <xdr:cNvSpPr/>
          </xdr:nvSpPr>
          <xdr:spPr>
            <a:xfrm flipV="1">
              <a:off x="3746022" y="6272907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85" name="Retângulo: Cantos Arredondados 584">
              <a:extLst>
                <a:ext uri="{FF2B5EF4-FFF2-40B4-BE49-F238E27FC236}">
                  <a16:creationId xmlns:a16="http://schemas.microsoft.com/office/drawing/2014/main" id="{00000000-0008-0000-0100-000049020000}"/>
                </a:ext>
              </a:extLst>
            </xdr:cNvPr>
            <xdr:cNvSpPr/>
          </xdr:nvSpPr>
          <xdr:spPr>
            <a:xfrm flipV="1">
              <a:off x="3746022" y="6549281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86" name="Retângulo: Cantos Arredondados 585">
              <a:extLst>
                <a:ext uri="{FF2B5EF4-FFF2-40B4-BE49-F238E27FC236}">
                  <a16:creationId xmlns:a16="http://schemas.microsoft.com/office/drawing/2014/main" id="{00000000-0008-0000-0100-00004A020000}"/>
                </a:ext>
              </a:extLst>
            </xdr:cNvPr>
            <xdr:cNvSpPr/>
          </xdr:nvSpPr>
          <xdr:spPr>
            <a:xfrm flipV="1">
              <a:off x="3746022" y="6826252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87" name="Retângulo: Cantos Arredondados 586">
              <a:extLst>
                <a:ext uri="{FF2B5EF4-FFF2-40B4-BE49-F238E27FC236}">
                  <a16:creationId xmlns:a16="http://schemas.microsoft.com/office/drawing/2014/main" id="{00000000-0008-0000-0100-00004B020000}"/>
                </a:ext>
              </a:extLst>
            </xdr:cNvPr>
            <xdr:cNvSpPr/>
          </xdr:nvSpPr>
          <xdr:spPr>
            <a:xfrm flipV="1">
              <a:off x="3746022" y="7098406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88" name="Retângulo: Cantos Arredondados 587">
              <a:extLst>
                <a:ext uri="{FF2B5EF4-FFF2-40B4-BE49-F238E27FC236}">
                  <a16:creationId xmlns:a16="http://schemas.microsoft.com/office/drawing/2014/main" id="{00000000-0008-0000-0100-00004C020000}"/>
                </a:ext>
              </a:extLst>
            </xdr:cNvPr>
            <xdr:cNvSpPr/>
          </xdr:nvSpPr>
          <xdr:spPr>
            <a:xfrm flipV="1">
              <a:off x="3746022" y="7425024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91" name="Retângulo: Cantos Arredondados 590">
              <a:extLst>
                <a:ext uri="{FF2B5EF4-FFF2-40B4-BE49-F238E27FC236}">
                  <a16:creationId xmlns:a16="http://schemas.microsoft.com/office/drawing/2014/main" id="{00000000-0008-0000-0100-00004F020000}"/>
                </a:ext>
              </a:extLst>
            </xdr:cNvPr>
            <xdr:cNvSpPr/>
          </xdr:nvSpPr>
          <xdr:spPr>
            <a:xfrm flipV="1">
              <a:off x="4686973" y="7425024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</xdr:grpSp>
    </xdr:grpSp>
    <xdr:clientData/>
  </xdr:twoCellAnchor>
  <xdr:twoCellAnchor>
    <xdr:from>
      <xdr:col>21</xdr:col>
      <xdr:colOff>342644</xdr:colOff>
      <xdr:row>40</xdr:row>
      <xdr:rowOff>72481</xdr:rowOff>
    </xdr:from>
    <xdr:to>
      <xdr:col>24</xdr:col>
      <xdr:colOff>605534</xdr:colOff>
      <xdr:row>58</xdr:row>
      <xdr:rowOff>49460</xdr:rowOff>
    </xdr:to>
    <xdr:grpSp>
      <xdr:nvGrpSpPr>
        <xdr:cNvPr id="127" name="Agrupar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GrpSpPr/>
      </xdr:nvGrpSpPr>
      <xdr:grpSpPr>
        <a:xfrm>
          <a:off x="10568684" y="6168481"/>
          <a:ext cx="2137410" cy="2682079"/>
          <a:chOff x="10315319" y="6111331"/>
          <a:chExt cx="2091690" cy="2653504"/>
        </a:xfrm>
      </xdr:grpSpPr>
      <xdr:grpSp>
        <xdr:nvGrpSpPr>
          <xdr:cNvPr id="35" name="Agrupar 34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GrpSpPr/>
        </xdr:nvGrpSpPr>
        <xdr:grpSpPr>
          <a:xfrm>
            <a:off x="10315319" y="6111331"/>
            <a:ext cx="2091690" cy="2653504"/>
            <a:chOff x="10303926" y="6093880"/>
            <a:chExt cx="2091287" cy="2648031"/>
          </a:xfrm>
        </xdr:grpSpPr>
        <xdr:graphicFrame macro="">
          <xdr:nvGraphicFramePr>
            <xdr:cNvPr id="105" name="Gráfico 104">
              <a:extLst>
                <a:ext uri="{FF2B5EF4-FFF2-40B4-BE49-F238E27FC236}">
                  <a16:creationId xmlns:a16="http://schemas.microsoft.com/office/drawing/2014/main" id="{00000000-0008-0000-0100-00006900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7353001"/>
            <a:ext cx="1154192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1"/>
            </a:graphicData>
          </a:graphic>
        </xdr:graphicFrame>
        <xdr:graphicFrame macro="">
          <xdr:nvGraphicFramePr>
            <xdr:cNvPr id="106" name="Gráfico 105">
              <a:extLst>
                <a:ext uri="{FF2B5EF4-FFF2-40B4-BE49-F238E27FC236}">
                  <a16:creationId xmlns:a16="http://schemas.microsoft.com/office/drawing/2014/main" id="{00000000-0008-0000-0100-00006A000000}"/>
                </a:ext>
              </a:extLst>
            </xdr:cNvPr>
            <xdr:cNvGraphicFramePr>
              <a:graphicFrameLocks/>
            </xdr:cNvGraphicFramePr>
          </xdr:nvGraphicFramePr>
          <xdr:xfrm>
            <a:off x="11242118" y="7353001"/>
            <a:ext cx="1153095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2"/>
            </a:graphicData>
          </a:graphic>
        </xdr:graphicFrame>
        <xdr:graphicFrame macro="">
          <xdr:nvGraphicFramePr>
            <xdr:cNvPr id="107" name="Gráfico 106">
              <a:extLst>
                <a:ext uri="{FF2B5EF4-FFF2-40B4-BE49-F238E27FC236}">
                  <a16:creationId xmlns:a16="http://schemas.microsoft.com/office/drawing/2014/main" id="{00000000-0008-0000-0100-00006B00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7700833"/>
            <a:ext cx="1154192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3"/>
            </a:graphicData>
          </a:graphic>
        </xdr:graphicFrame>
        <xdr:graphicFrame macro="">
          <xdr:nvGraphicFramePr>
            <xdr:cNvPr id="108" name="Gráfico 107">
              <a:extLst>
                <a:ext uri="{FF2B5EF4-FFF2-40B4-BE49-F238E27FC236}">
                  <a16:creationId xmlns:a16="http://schemas.microsoft.com/office/drawing/2014/main" id="{00000000-0008-0000-0100-00006C000000}"/>
                </a:ext>
              </a:extLst>
            </xdr:cNvPr>
            <xdr:cNvGraphicFramePr>
              <a:graphicFrameLocks/>
            </xdr:cNvGraphicFramePr>
          </xdr:nvGraphicFramePr>
          <xdr:xfrm>
            <a:off x="11242118" y="7888845"/>
            <a:ext cx="1153095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4"/>
            </a:graphicData>
          </a:graphic>
        </xdr:graphicFrame>
        <xdr:graphicFrame macro="">
          <xdr:nvGraphicFramePr>
            <xdr:cNvPr id="109" name="Gráfico 108">
              <a:extLst>
                <a:ext uri="{FF2B5EF4-FFF2-40B4-BE49-F238E27FC236}">
                  <a16:creationId xmlns:a16="http://schemas.microsoft.com/office/drawing/2014/main" id="{00000000-0008-0000-0100-00006D00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8273194"/>
            <a:ext cx="1152620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5"/>
            </a:graphicData>
          </a:graphic>
        </xdr:graphicFrame>
        <xdr:graphicFrame macro="">
          <xdr:nvGraphicFramePr>
            <xdr:cNvPr id="110" name="Gráfico 109">
              <a:extLst>
                <a:ext uri="{FF2B5EF4-FFF2-40B4-BE49-F238E27FC236}">
                  <a16:creationId xmlns:a16="http://schemas.microsoft.com/office/drawing/2014/main" id="{00000000-0008-0000-0100-00006E00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6370735"/>
            <a:ext cx="2091287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6"/>
            </a:graphicData>
          </a:graphic>
        </xdr:graphicFrame>
        <xdr:graphicFrame macro="">
          <xdr:nvGraphicFramePr>
            <xdr:cNvPr id="111" name="Gráfico 110">
              <a:extLst>
                <a:ext uri="{FF2B5EF4-FFF2-40B4-BE49-F238E27FC236}">
                  <a16:creationId xmlns:a16="http://schemas.microsoft.com/office/drawing/2014/main" id="{00000000-0008-0000-0100-00006F00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7029228"/>
            <a:ext cx="1154192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7"/>
            </a:graphicData>
          </a:graphic>
        </xdr:graphicFrame>
        <xdr:graphicFrame macro="">
          <xdr:nvGraphicFramePr>
            <xdr:cNvPr id="112" name="Gráfico 111">
              <a:extLst>
                <a:ext uri="{FF2B5EF4-FFF2-40B4-BE49-F238E27FC236}">
                  <a16:creationId xmlns:a16="http://schemas.microsoft.com/office/drawing/2014/main" id="{00000000-0008-0000-0100-00007000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6093880"/>
            <a:ext cx="2091287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8"/>
            </a:graphicData>
          </a:graphic>
        </xdr:graphicFrame>
        <xdr:graphicFrame macro="">
          <xdr:nvGraphicFramePr>
            <xdr:cNvPr id="29716" name="Gráfico 29715">
              <a:extLst>
                <a:ext uri="{FF2B5EF4-FFF2-40B4-BE49-F238E27FC236}">
                  <a16:creationId xmlns:a16="http://schemas.microsoft.com/office/drawing/2014/main" id="{00000000-0008-0000-0100-000014740000}"/>
                </a:ext>
              </a:extLst>
            </xdr:cNvPr>
            <xdr:cNvGraphicFramePr>
              <a:graphicFrameLocks/>
            </xdr:cNvGraphicFramePr>
          </xdr:nvGraphicFramePr>
          <xdr:xfrm>
            <a:off x="11242118" y="7029228"/>
            <a:ext cx="1153095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9"/>
            </a:graphicData>
          </a:graphic>
        </xdr:graphicFrame>
        <xdr:graphicFrame macro="">
          <xdr:nvGraphicFramePr>
            <xdr:cNvPr id="29701" name="Gráfico 29700">
              <a:extLst>
                <a:ext uri="{FF2B5EF4-FFF2-40B4-BE49-F238E27FC236}">
                  <a16:creationId xmlns:a16="http://schemas.microsoft.com/office/drawing/2014/main" id="{00000000-0008-0000-0100-000005740000}"/>
                </a:ext>
              </a:extLst>
            </xdr:cNvPr>
            <xdr:cNvGraphicFramePr>
              <a:graphicFrameLocks/>
            </xdr:cNvGraphicFramePr>
          </xdr:nvGraphicFramePr>
          <xdr:xfrm>
            <a:off x="11242118" y="7700833"/>
            <a:ext cx="1153095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0"/>
            </a:graphicData>
          </a:graphic>
        </xdr:graphicFrame>
        <xdr:graphicFrame macro="">
          <xdr:nvGraphicFramePr>
            <xdr:cNvPr id="29702" name="Gráfico 29701">
              <a:extLst>
                <a:ext uri="{FF2B5EF4-FFF2-40B4-BE49-F238E27FC236}">
                  <a16:creationId xmlns:a16="http://schemas.microsoft.com/office/drawing/2014/main" id="{00000000-0008-0000-0100-00000674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7888845"/>
            <a:ext cx="1154192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1"/>
            </a:graphicData>
          </a:graphic>
        </xdr:graphicFrame>
        <xdr:graphicFrame macro="">
          <xdr:nvGraphicFramePr>
            <xdr:cNvPr id="29703" name="Gráfico 29702">
              <a:extLst>
                <a:ext uri="{FF2B5EF4-FFF2-40B4-BE49-F238E27FC236}">
                  <a16:creationId xmlns:a16="http://schemas.microsoft.com/office/drawing/2014/main" id="{00000000-0008-0000-0100-000007740000}"/>
                </a:ext>
              </a:extLst>
            </xdr:cNvPr>
            <xdr:cNvGraphicFramePr>
              <a:graphicFrameLocks/>
            </xdr:cNvGraphicFramePr>
          </xdr:nvGraphicFramePr>
          <xdr:xfrm>
            <a:off x="11242904" y="8273194"/>
            <a:ext cx="1152309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2"/>
            </a:graphicData>
          </a:graphic>
        </xdr:graphicFrame>
        <xdr:graphicFrame macro="">
          <xdr:nvGraphicFramePr>
            <xdr:cNvPr id="29721" name="Gráfico 29720">
              <a:extLst>
                <a:ext uri="{FF2B5EF4-FFF2-40B4-BE49-F238E27FC236}">
                  <a16:creationId xmlns:a16="http://schemas.microsoft.com/office/drawing/2014/main" id="{00000000-0008-0000-0100-000019740000}"/>
                </a:ext>
              </a:extLst>
            </xdr:cNvPr>
            <xdr:cNvGraphicFramePr>
              <a:graphicFrameLocks/>
            </xdr:cNvGraphicFramePr>
          </xdr:nvGraphicFramePr>
          <xdr:xfrm>
            <a:off x="10303926" y="6645623"/>
            <a:ext cx="2091287" cy="4687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3"/>
            </a:graphicData>
          </a:graphic>
        </xdr:graphicFrame>
      </xdr:grpSp>
      <xdr:grpSp>
        <xdr:nvGrpSpPr>
          <xdr:cNvPr id="592" name="Agrupar 591">
            <a:extLst>
              <a:ext uri="{FF2B5EF4-FFF2-40B4-BE49-F238E27FC236}">
                <a16:creationId xmlns:a16="http://schemas.microsoft.com/office/drawing/2014/main" id="{00000000-0008-0000-0100-000050020000}"/>
              </a:ext>
            </a:extLst>
          </xdr:cNvPr>
          <xdr:cNvGrpSpPr/>
        </xdr:nvGrpSpPr>
        <xdr:grpSpPr>
          <a:xfrm>
            <a:off x="10437572" y="6295450"/>
            <a:ext cx="1843528" cy="2283717"/>
            <a:chOff x="3746022" y="6272907"/>
            <a:chExt cx="1846562" cy="2288269"/>
          </a:xfrm>
        </xdr:grpSpPr>
        <xdr:sp macro="" textlink="">
          <xdr:nvSpPr>
            <xdr:cNvPr id="593" name="Retângulo: Cantos Arredondados 592">
              <a:extLst>
                <a:ext uri="{FF2B5EF4-FFF2-40B4-BE49-F238E27FC236}">
                  <a16:creationId xmlns:a16="http://schemas.microsoft.com/office/drawing/2014/main" id="{00000000-0008-0000-0100-000051020000}"/>
                </a:ext>
              </a:extLst>
            </xdr:cNvPr>
            <xdr:cNvSpPr/>
          </xdr:nvSpPr>
          <xdr:spPr>
            <a:xfrm flipV="1">
              <a:off x="3746022" y="6272907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94" name="Retângulo: Cantos Arredondados 593">
              <a:extLst>
                <a:ext uri="{FF2B5EF4-FFF2-40B4-BE49-F238E27FC236}">
                  <a16:creationId xmlns:a16="http://schemas.microsoft.com/office/drawing/2014/main" id="{00000000-0008-0000-0100-000052020000}"/>
                </a:ext>
              </a:extLst>
            </xdr:cNvPr>
            <xdr:cNvSpPr/>
          </xdr:nvSpPr>
          <xdr:spPr>
            <a:xfrm flipV="1">
              <a:off x="3746022" y="6549281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95" name="Retângulo: Cantos Arredondados 594">
              <a:extLst>
                <a:ext uri="{FF2B5EF4-FFF2-40B4-BE49-F238E27FC236}">
                  <a16:creationId xmlns:a16="http://schemas.microsoft.com/office/drawing/2014/main" id="{00000000-0008-0000-0100-000053020000}"/>
                </a:ext>
              </a:extLst>
            </xdr:cNvPr>
            <xdr:cNvSpPr/>
          </xdr:nvSpPr>
          <xdr:spPr>
            <a:xfrm flipV="1">
              <a:off x="3746022" y="6826252"/>
              <a:ext cx="1846562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97" name="Retângulo: Cantos Arredondados 596">
              <a:extLst>
                <a:ext uri="{FF2B5EF4-FFF2-40B4-BE49-F238E27FC236}">
                  <a16:creationId xmlns:a16="http://schemas.microsoft.com/office/drawing/2014/main" id="{00000000-0008-0000-0100-000055020000}"/>
                </a:ext>
              </a:extLst>
            </xdr:cNvPr>
            <xdr:cNvSpPr/>
          </xdr:nvSpPr>
          <xdr:spPr>
            <a:xfrm flipV="1">
              <a:off x="3746022" y="7210615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98" name="Retângulo: Cantos Arredondados 597">
              <a:extLst>
                <a:ext uri="{FF2B5EF4-FFF2-40B4-BE49-F238E27FC236}">
                  <a16:creationId xmlns:a16="http://schemas.microsoft.com/office/drawing/2014/main" id="{00000000-0008-0000-0100-000056020000}"/>
                </a:ext>
              </a:extLst>
            </xdr:cNvPr>
            <xdr:cNvSpPr/>
          </xdr:nvSpPr>
          <xdr:spPr>
            <a:xfrm flipV="1">
              <a:off x="4686973" y="7210615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599" name="Retângulo: Cantos Arredondados 598">
              <a:extLst>
                <a:ext uri="{FF2B5EF4-FFF2-40B4-BE49-F238E27FC236}">
                  <a16:creationId xmlns:a16="http://schemas.microsoft.com/office/drawing/2014/main" id="{00000000-0008-0000-0100-000057020000}"/>
                </a:ext>
              </a:extLst>
            </xdr:cNvPr>
            <xdr:cNvSpPr/>
          </xdr:nvSpPr>
          <xdr:spPr>
            <a:xfrm flipV="1">
              <a:off x="3746022" y="7536620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0" name="Retângulo: Cantos Arredondados 599">
              <a:extLst>
                <a:ext uri="{FF2B5EF4-FFF2-40B4-BE49-F238E27FC236}">
                  <a16:creationId xmlns:a16="http://schemas.microsoft.com/office/drawing/2014/main" id="{00000000-0008-0000-0100-000058020000}"/>
                </a:ext>
              </a:extLst>
            </xdr:cNvPr>
            <xdr:cNvSpPr/>
          </xdr:nvSpPr>
          <xdr:spPr>
            <a:xfrm flipV="1">
              <a:off x="4686973" y="7536619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1" name="Retângulo: Cantos Arredondados 600">
              <a:extLst>
                <a:ext uri="{FF2B5EF4-FFF2-40B4-BE49-F238E27FC236}">
                  <a16:creationId xmlns:a16="http://schemas.microsoft.com/office/drawing/2014/main" id="{00000000-0008-0000-0100-000059020000}"/>
                </a:ext>
              </a:extLst>
            </xdr:cNvPr>
            <xdr:cNvSpPr/>
          </xdr:nvSpPr>
          <xdr:spPr>
            <a:xfrm flipV="1">
              <a:off x="3746022" y="7883291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2" name="Retângulo: Cantos Arredondados 601">
              <a:extLst>
                <a:ext uri="{FF2B5EF4-FFF2-40B4-BE49-F238E27FC236}">
                  <a16:creationId xmlns:a16="http://schemas.microsoft.com/office/drawing/2014/main" id="{00000000-0008-0000-0100-00005A020000}"/>
                </a:ext>
              </a:extLst>
            </xdr:cNvPr>
            <xdr:cNvSpPr/>
          </xdr:nvSpPr>
          <xdr:spPr>
            <a:xfrm flipV="1">
              <a:off x="4686973" y="7883289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3" name="Retângulo: Cantos Arredondados 602">
              <a:extLst>
                <a:ext uri="{FF2B5EF4-FFF2-40B4-BE49-F238E27FC236}">
                  <a16:creationId xmlns:a16="http://schemas.microsoft.com/office/drawing/2014/main" id="{00000000-0008-0000-0100-00005B020000}"/>
                </a:ext>
              </a:extLst>
            </xdr:cNvPr>
            <xdr:cNvSpPr/>
          </xdr:nvSpPr>
          <xdr:spPr>
            <a:xfrm flipV="1">
              <a:off x="3746022" y="8074961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4" name="Retângulo: Cantos Arredondados 603">
              <a:extLst>
                <a:ext uri="{FF2B5EF4-FFF2-40B4-BE49-F238E27FC236}">
                  <a16:creationId xmlns:a16="http://schemas.microsoft.com/office/drawing/2014/main" id="{00000000-0008-0000-0100-00005C020000}"/>
                </a:ext>
              </a:extLst>
            </xdr:cNvPr>
            <xdr:cNvSpPr/>
          </xdr:nvSpPr>
          <xdr:spPr>
            <a:xfrm flipV="1">
              <a:off x="4686973" y="8074959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5" name="Retângulo: Cantos Arredondados 604">
              <a:extLst>
                <a:ext uri="{FF2B5EF4-FFF2-40B4-BE49-F238E27FC236}">
                  <a16:creationId xmlns:a16="http://schemas.microsoft.com/office/drawing/2014/main" id="{00000000-0008-0000-0100-00005D020000}"/>
                </a:ext>
              </a:extLst>
            </xdr:cNvPr>
            <xdr:cNvSpPr/>
          </xdr:nvSpPr>
          <xdr:spPr>
            <a:xfrm flipV="1">
              <a:off x="3746022" y="8460376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06" name="Retângulo: Cantos Arredondados 605">
              <a:extLst>
                <a:ext uri="{FF2B5EF4-FFF2-40B4-BE49-F238E27FC236}">
                  <a16:creationId xmlns:a16="http://schemas.microsoft.com/office/drawing/2014/main" id="{00000000-0008-0000-0100-00005E020000}"/>
                </a:ext>
              </a:extLst>
            </xdr:cNvPr>
            <xdr:cNvSpPr/>
          </xdr:nvSpPr>
          <xdr:spPr>
            <a:xfrm flipV="1">
              <a:off x="4686973" y="8460374"/>
              <a:ext cx="902414" cy="100800"/>
            </a:xfrm>
            <a:prstGeom prst="roundRect">
              <a:avLst>
                <a:gd name="adj" fmla="val 50000"/>
              </a:avLst>
            </a:prstGeom>
            <a:noFill/>
            <a:ln w="38100">
              <a:solidFill>
                <a:srgbClr val="1D2125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</xdr:grpSp>
    </xdr:grpSp>
    <xdr:clientData/>
  </xdr:twoCellAnchor>
  <xdr:twoCellAnchor>
    <xdr:from>
      <xdr:col>10</xdr:col>
      <xdr:colOff>358905</xdr:colOff>
      <xdr:row>40</xdr:row>
      <xdr:rowOff>98041</xdr:rowOff>
    </xdr:from>
    <xdr:to>
      <xdr:col>14</xdr:col>
      <xdr:colOff>14261</xdr:colOff>
      <xdr:row>47</xdr:row>
      <xdr:rowOff>54999</xdr:rowOff>
    </xdr:to>
    <xdr:grpSp>
      <xdr:nvGrpSpPr>
        <xdr:cNvPr id="29697" name="Agrupar 29696">
          <a:extLst>
            <a:ext uri="{FF2B5EF4-FFF2-40B4-BE49-F238E27FC236}">
              <a16:creationId xmlns:a16="http://schemas.microsoft.com/office/drawing/2014/main" id="{00000000-0008-0000-0100-000001740000}"/>
            </a:ext>
          </a:extLst>
        </xdr:cNvPr>
        <xdr:cNvGrpSpPr/>
      </xdr:nvGrpSpPr>
      <xdr:grpSpPr>
        <a:xfrm>
          <a:off x="3711705" y="6194041"/>
          <a:ext cx="2154716" cy="993278"/>
          <a:chOff x="3621962" y="6121859"/>
          <a:chExt cx="2096137" cy="983872"/>
        </a:xfrm>
      </xdr:grpSpPr>
      <xdr:sp macro="" textlink="">
        <xdr:nvSpPr>
          <xdr:cNvPr id="469" name="Retângulo 468">
            <a:extLst>
              <a:ext uri="{FF2B5EF4-FFF2-40B4-BE49-F238E27FC236}">
                <a16:creationId xmlns:a16="http://schemas.microsoft.com/office/drawing/2014/main" id="{00000000-0008-0000-0100-0000D5010000}"/>
              </a:ext>
            </a:extLst>
          </xdr:cNvPr>
          <xdr:cNvSpPr/>
        </xdr:nvSpPr>
        <xdr:spPr>
          <a:xfrm>
            <a:off x="3621962" y="6121859"/>
            <a:ext cx="1749754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Flexão Oblíqua</a:t>
            </a:r>
          </a:p>
        </xdr:txBody>
      </xdr:sp>
      <xdr:sp macro="" textlink="">
        <xdr:nvSpPr>
          <xdr:cNvPr id="470" name="Retângulo 469">
            <a:extLst>
              <a:ext uri="{FF2B5EF4-FFF2-40B4-BE49-F238E27FC236}">
                <a16:creationId xmlns:a16="http://schemas.microsoft.com/office/drawing/2014/main" id="{00000000-0008-0000-0100-0000D6010000}"/>
              </a:ext>
            </a:extLst>
          </xdr:cNvPr>
          <xdr:cNvSpPr/>
        </xdr:nvSpPr>
        <xdr:spPr>
          <a:xfrm>
            <a:off x="3621962" y="6387383"/>
            <a:ext cx="1749754" cy="17925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Cisalhamento</a:t>
            </a:r>
          </a:p>
        </xdr:txBody>
      </xdr:sp>
      <xdr:sp macro="" textlink="">
        <xdr:nvSpPr>
          <xdr:cNvPr id="471" name="Retângulo 470">
            <a:extLst>
              <a:ext uri="{FF2B5EF4-FFF2-40B4-BE49-F238E27FC236}">
                <a16:creationId xmlns:a16="http://schemas.microsoft.com/office/drawing/2014/main" id="{00000000-0008-0000-0100-0000D7010000}"/>
              </a:ext>
            </a:extLst>
          </xdr:cNvPr>
          <xdr:cNvSpPr/>
        </xdr:nvSpPr>
        <xdr:spPr>
          <a:xfrm>
            <a:off x="3621962" y="6654386"/>
            <a:ext cx="1749754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Deslocamento</a:t>
            </a:r>
          </a:p>
        </xdr:txBody>
      </xdr:sp>
      <xdr:sp macro="" textlink="">
        <xdr:nvSpPr>
          <xdr:cNvPr id="472" name="Retângulo 471">
            <a:extLst>
              <a:ext uri="{FF2B5EF4-FFF2-40B4-BE49-F238E27FC236}">
                <a16:creationId xmlns:a16="http://schemas.microsoft.com/office/drawing/2014/main" id="{00000000-0008-0000-0100-0000D8010000}"/>
              </a:ext>
            </a:extLst>
          </xdr:cNvPr>
          <xdr:cNvSpPr/>
        </xdr:nvSpPr>
        <xdr:spPr>
          <a:xfrm>
            <a:off x="3621962" y="6924867"/>
            <a:ext cx="1749754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 Normal às Fibras</a:t>
            </a:r>
          </a:p>
        </xdr:txBody>
      </xdr:sp>
      <xdr:sp macro="" textlink="AXD!J7">
        <xdr:nvSpPr>
          <xdr:cNvPr id="55" name="Retângulo 54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/>
        </xdr:nvSpPr>
        <xdr:spPr>
          <a:xfrm>
            <a:off x="5176233" y="6388869"/>
            <a:ext cx="541866" cy="177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ED502856-458E-40F4-AE91-29320A4581FE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16%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8">
        <xdr:nvSpPr>
          <xdr:cNvPr id="56" name="Retângulo 55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/>
        </xdr:nvSpPr>
        <xdr:spPr>
          <a:xfrm>
            <a:off x="5176233" y="6654386"/>
            <a:ext cx="541866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45016821-012D-4F88-98E5-1F8054EA7AE3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152%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9">
        <xdr:nvSpPr>
          <xdr:cNvPr id="57" name="Retângulo 56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/>
        </xdr:nvSpPr>
        <xdr:spPr>
          <a:xfrm>
            <a:off x="5176233" y="6924867"/>
            <a:ext cx="541866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3748055B-F0A5-4D8E-B4DA-CE3199345610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3%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6">
        <xdr:nvSpPr>
          <xdr:cNvPr id="54" name="Retângulo 53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SpPr/>
        </xdr:nvSpPr>
        <xdr:spPr>
          <a:xfrm>
            <a:off x="5176233" y="6121859"/>
            <a:ext cx="541866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1076E1E7-9A61-4197-A76F-2EDF0B569E7A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84%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14</xdr:col>
      <xdr:colOff>146354</xdr:colOff>
      <xdr:row>40</xdr:row>
      <xdr:rowOff>98041</xdr:rowOff>
    </xdr:from>
    <xdr:to>
      <xdr:col>17</xdr:col>
      <xdr:colOff>409950</xdr:colOff>
      <xdr:row>51</xdr:row>
      <xdr:rowOff>129449</xdr:rowOff>
    </xdr:to>
    <xdr:grpSp>
      <xdr:nvGrpSpPr>
        <xdr:cNvPr id="29699" name="Agrupar 29698">
          <a:extLst>
            <a:ext uri="{FF2B5EF4-FFF2-40B4-BE49-F238E27FC236}">
              <a16:creationId xmlns:a16="http://schemas.microsoft.com/office/drawing/2014/main" id="{00000000-0008-0000-0100-000003740000}"/>
            </a:ext>
          </a:extLst>
        </xdr:cNvPr>
        <xdr:cNvGrpSpPr/>
      </xdr:nvGrpSpPr>
      <xdr:grpSpPr>
        <a:xfrm>
          <a:off x="5998514" y="6194041"/>
          <a:ext cx="2138116" cy="1730668"/>
          <a:chOff x="5850192" y="6121859"/>
          <a:chExt cx="2094182" cy="1716887"/>
        </a:xfrm>
      </xdr:grpSpPr>
      <xdr:sp macro="" textlink="">
        <xdr:nvSpPr>
          <xdr:cNvPr id="446" name="Retângulo 445">
            <a:extLst>
              <a:ext uri="{FF2B5EF4-FFF2-40B4-BE49-F238E27FC236}">
                <a16:creationId xmlns:a16="http://schemas.microsoft.com/office/drawing/2014/main" id="{00000000-0008-0000-0100-0000BE010000}"/>
              </a:ext>
            </a:extLst>
          </xdr:cNvPr>
          <xdr:cNvSpPr/>
        </xdr:nvSpPr>
        <xdr:spPr>
          <a:xfrm>
            <a:off x="5850192" y="6654386"/>
            <a:ext cx="1749154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Deslocamento</a:t>
            </a:r>
          </a:p>
        </xdr:txBody>
      </xdr:sp>
      <xdr:sp macro="" textlink="">
        <xdr:nvSpPr>
          <xdr:cNvPr id="447" name="Retângulo 446">
            <a:extLst>
              <a:ext uri="{FF2B5EF4-FFF2-40B4-BE49-F238E27FC236}">
                <a16:creationId xmlns:a16="http://schemas.microsoft.com/office/drawing/2014/main" id="{00000000-0008-0000-0100-0000BF010000}"/>
              </a:ext>
            </a:extLst>
          </xdr:cNvPr>
          <xdr:cNvSpPr/>
        </xdr:nvSpPr>
        <xdr:spPr>
          <a:xfrm>
            <a:off x="5850192" y="6924867"/>
            <a:ext cx="1749154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 Normal às Fibras</a:t>
            </a:r>
          </a:p>
        </xdr:txBody>
      </xdr:sp>
      <xdr:sp macro="" textlink="">
        <xdr:nvSpPr>
          <xdr:cNvPr id="454" name="Retângulo 453">
            <a:extLst>
              <a:ext uri="{FF2B5EF4-FFF2-40B4-BE49-F238E27FC236}">
                <a16:creationId xmlns:a16="http://schemas.microsoft.com/office/drawing/2014/main" id="{00000000-0008-0000-0100-0000C6010000}"/>
              </a:ext>
            </a:extLst>
          </xdr:cNvPr>
          <xdr:cNvSpPr/>
        </xdr:nvSpPr>
        <xdr:spPr>
          <a:xfrm>
            <a:off x="5850192" y="7172447"/>
            <a:ext cx="1749154" cy="1785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</a:t>
            </a:r>
          </a:p>
        </xdr:txBody>
      </xdr:sp>
      <xdr:sp macro="" textlink="">
        <xdr:nvSpPr>
          <xdr:cNvPr id="455" name="Retângulo 454">
            <a:extLst>
              <a:ext uri="{FF2B5EF4-FFF2-40B4-BE49-F238E27FC236}">
                <a16:creationId xmlns:a16="http://schemas.microsoft.com/office/drawing/2014/main" id="{00000000-0008-0000-0100-0000C7010000}"/>
              </a:ext>
            </a:extLst>
          </xdr:cNvPr>
          <xdr:cNvSpPr/>
        </xdr:nvSpPr>
        <xdr:spPr>
          <a:xfrm>
            <a:off x="5850192" y="7417589"/>
            <a:ext cx="1749155" cy="18163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Flexocompressão</a:t>
            </a:r>
          </a:p>
        </xdr:txBody>
      </xdr:sp>
      <xdr:sp macro="" textlink="">
        <xdr:nvSpPr>
          <xdr:cNvPr id="461" name="Retângulo 460">
            <a:extLst>
              <a:ext uri="{FF2B5EF4-FFF2-40B4-BE49-F238E27FC236}">
                <a16:creationId xmlns:a16="http://schemas.microsoft.com/office/drawing/2014/main" id="{00000000-0008-0000-0100-0000CD010000}"/>
              </a:ext>
            </a:extLst>
          </xdr:cNvPr>
          <xdr:cNvSpPr/>
        </xdr:nvSpPr>
        <xdr:spPr>
          <a:xfrm>
            <a:off x="5850192" y="7659490"/>
            <a:ext cx="1749154" cy="17925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Flambagem Lateral</a:t>
            </a:r>
          </a:p>
        </xdr:txBody>
      </xdr:sp>
      <xdr:sp macro="" textlink="">
        <xdr:nvSpPr>
          <xdr:cNvPr id="463" name="Retângulo 462">
            <a:extLst>
              <a:ext uri="{FF2B5EF4-FFF2-40B4-BE49-F238E27FC236}">
                <a16:creationId xmlns:a16="http://schemas.microsoft.com/office/drawing/2014/main" id="{00000000-0008-0000-0100-0000CF010000}"/>
              </a:ext>
            </a:extLst>
          </xdr:cNvPr>
          <xdr:cNvSpPr/>
        </xdr:nvSpPr>
        <xdr:spPr>
          <a:xfrm>
            <a:off x="5850192" y="6121859"/>
            <a:ext cx="1749154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Flexão Reta </a:t>
            </a:r>
          </a:p>
        </xdr:txBody>
      </xdr:sp>
      <xdr:sp macro="" textlink="">
        <xdr:nvSpPr>
          <xdr:cNvPr id="464" name="Retângulo 463">
            <a:extLst>
              <a:ext uri="{FF2B5EF4-FFF2-40B4-BE49-F238E27FC236}">
                <a16:creationId xmlns:a16="http://schemas.microsoft.com/office/drawing/2014/main" id="{00000000-0008-0000-0100-0000D0010000}"/>
              </a:ext>
            </a:extLst>
          </xdr:cNvPr>
          <xdr:cNvSpPr/>
        </xdr:nvSpPr>
        <xdr:spPr>
          <a:xfrm>
            <a:off x="5850192" y="6391648"/>
            <a:ext cx="1749154" cy="17668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Cisalhamento</a:t>
            </a:r>
          </a:p>
        </xdr:txBody>
      </xdr:sp>
      <xdr:sp macro="" textlink="AXD!J13">
        <xdr:nvSpPr>
          <xdr:cNvPr id="184" name="Retângulo 183">
            <a:extLst>
              <a:ext uri="{FF2B5EF4-FFF2-40B4-BE49-F238E27FC236}">
                <a16:creationId xmlns:a16="http://schemas.microsoft.com/office/drawing/2014/main" id="{00000000-0008-0000-0100-0000B8000000}"/>
              </a:ext>
            </a:extLst>
          </xdr:cNvPr>
          <xdr:cNvSpPr/>
        </xdr:nvSpPr>
        <xdr:spPr>
          <a:xfrm>
            <a:off x="7403778" y="7168939"/>
            <a:ext cx="540596" cy="182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algn="r"/>
            <a:fld id="{7752F1E4-4611-4DB2-8B93-BBCF4CE49366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7%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14">
        <xdr:nvSpPr>
          <xdr:cNvPr id="185" name="Retângulo 184">
            <a:extLst>
              <a:ext uri="{FF2B5EF4-FFF2-40B4-BE49-F238E27FC236}">
                <a16:creationId xmlns:a16="http://schemas.microsoft.com/office/drawing/2014/main" id="{00000000-0008-0000-0100-0000B9000000}"/>
              </a:ext>
            </a:extLst>
          </xdr:cNvPr>
          <xdr:cNvSpPr/>
        </xdr:nvSpPr>
        <xdr:spPr>
          <a:xfrm>
            <a:off x="7403778" y="7419475"/>
            <a:ext cx="540596" cy="1797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algn="r"/>
            <a:fld id="{F296436F-763F-4FE7-B3BC-276D16D2C718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135%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15">
        <xdr:nvSpPr>
          <xdr:cNvPr id="186" name="Retângulo 185">
            <a:extLst>
              <a:ext uri="{FF2B5EF4-FFF2-40B4-BE49-F238E27FC236}">
                <a16:creationId xmlns:a16="http://schemas.microsoft.com/office/drawing/2014/main" id="{00000000-0008-0000-0100-0000BA000000}"/>
              </a:ext>
            </a:extLst>
          </xdr:cNvPr>
          <xdr:cNvSpPr/>
        </xdr:nvSpPr>
        <xdr:spPr>
          <a:xfrm>
            <a:off x="7403778" y="6391648"/>
            <a:ext cx="540596" cy="17668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marL="0" indent="0" algn="r"/>
            <a:fld id="{E9F4A636-9B9D-4152-86F2-55CEA284D2ED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31%</a:t>
            </a:fld>
            <a:endParaRPr lang="pt-BR" sz="8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16">
        <xdr:nvSpPr>
          <xdr:cNvPr id="187" name="Retângulo 186">
            <a:extLst>
              <a:ext uri="{FF2B5EF4-FFF2-40B4-BE49-F238E27FC236}">
                <a16:creationId xmlns:a16="http://schemas.microsoft.com/office/drawing/2014/main" id="{00000000-0008-0000-0100-0000BB000000}"/>
              </a:ext>
            </a:extLst>
          </xdr:cNvPr>
          <xdr:cNvSpPr/>
        </xdr:nvSpPr>
        <xdr:spPr>
          <a:xfrm>
            <a:off x="7403778" y="6654386"/>
            <a:ext cx="540596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marL="0" indent="0" algn="r"/>
            <a:fld id="{7E4F6BCC-94D0-444A-857A-78CD09F3AC25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158%</a:t>
            </a:fld>
            <a:endParaRPr lang="pt-BR" sz="8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17">
        <xdr:nvSpPr>
          <xdr:cNvPr id="188" name="Retângulo 187">
            <a:extLst>
              <a:ext uri="{FF2B5EF4-FFF2-40B4-BE49-F238E27FC236}">
                <a16:creationId xmlns:a16="http://schemas.microsoft.com/office/drawing/2014/main" id="{00000000-0008-0000-0100-0000BC000000}"/>
              </a:ext>
            </a:extLst>
          </xdr:cNvPr>
          <xdr:cNvSpPr/>
        </xdr:nvSpPr>
        <xdr:spPr>
          <a:xfrm>
            <a:off x="7403778" y="6924867"/>
            <a:ext cx="540596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marL="0" indent="0" algn="r"/>
            <a:fld id="{685ABB1E-F688-406F-B4DF-D542C9EFE5C8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18%</a:t>
            </a:fld>
            <a:endParaRPr lang="pt-BR" sz="8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12">
        <xdr:nvSpPr>
          <xdr:cNvPr id="189" name="Retângulo 188">
            <a:extLst>
              <a:ext uri="{FF2B5EF4-FFF2-40B4-BE49-F238E27FC236}">
                <a16:creationId xmlns:a16="http://schemas.microsoft.com/office/drawing/2014/main" id="{00000000-0008-0000-0100-0000BD000000}"/>
              </a:ext>
            </a:extLst>
          </xdr:cNvPr>
          <xdr:cNvSpPr/>
        </xdr:nvSpPr>
        <xdr:spPr>
          <a:xfrm>
            <a:off x="7403778" y="6121859"/>
            <a:ext cx="540596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algn="r"/>
            <a:fld id="{676DE367-7A68-4558-805D-D41EDDE89F60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135%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18">
        <xdr:nvSpPr>
          <xdr:cNvPr id="29753" name="Retângulo 29752">
            <a:extLst>
              <a:ext uri="{FF2B5EF4-FFF2-40B4-BE49-F238E27FC236}">
                <a16:creationId xmlns:a16="http://schemas.microsoft.com/office/drawing/2014/main" id="{00000000-0008-0000-0100-000039740000}"/>
              </a:ext>
            </a:extLst>
          </xdr:cNvPr>
          <xdr:cNvSpPr/>
        </xdr:nvSpPr>
        <xdr:spPr>
          <a:xfrm>
            <a:off x="7403778" y="7660056"/>
            <a:ext cx="540596" cy="17869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Ins="144000" rtlCol="0" anchor="ctr"/>
          <a:lstStyle/>
          <a:p>
            <a:pPr algn="r"/>
            <a:fld id="{B91A07A7-8689-4481-9F86-F46B612CB00A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51%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17</xdr:col>
      <xdr:colOff>549927</xdr:colOff>
      <xdr:row>40</xdr:row>
      <xdr:rowOff>98041</xdr:rowOff>
    </xdr:from>
    <xdr:to>
      <xdr:col>21</xdr:col>
      <xdr:colOff>205283</xdr:colOff>
      <xdr:row>49</xdr:row>
      <xdr:rowOff>175293</xdr:rowOff>
    </xdr:to>
    <xdr:grpSp>
      <xdr:nvGrpSpPr>
        <xdr:cNvPr id="29705" name="Agrupar 29704">
          <a:extLst>
            <a:ext uri="{FF2B5EF4-FFF2-40B4-BE49-F238E27FC236}">
              <a16:creationId xmlns:a16="http://schemas.microsoft.com/office/drawing/2014/main" id="{00000000-0008-0000-0100-000009740000}"/>
            </a:ext>
          </a:extLst>
        </xdr:cNvPr>
        <xdr:cNvGrpSpPr/>
      </xdr:nvGrpSpPr>
      <xdr:grpSpPr>
        <a:xfrm>
          <a:off x="8276607" y="6194041"/>
          <a:ext cx="2154716" cy="1334552"/>
          <a:chOff x="8084351" y="6121859"/>
          <a:chExt cx="2096137" cy="1323688"/>
        </a:xfrm>
      </xdr:grpSpPr>
      <xdr:sp macro="" textlink="">
        <xdr:nvSpPr>
          <xdr:cNvPr id="432" name="Retângulo 431">
            <a:extLst>
              <a:ext uri="{FF2B5EF4-FFF2-40B4-BE49-F238E27FC236}">
                <a16:creationId xmlns:a16="http://schemas.microsoft.com/office/drawing/2014/main" id="{00000000-0008-0000-0100-0000B0010000}"/>
              </a:ext>
            </a:extLst>
          </xdr:cNvPr>
          <xdr:cNvSpPr/>
        </xdr:nvSpPr>
        <xdr:spPr>
          <a:xfrm>
            <a:off x="8084351" y="6121859"/>
            <a:ext cx="1745713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Flexão Oblíqua</a:t>
            </a:r>
          </a:p>
        </xdr:txBody>
      </xdr:sp>
      <xdr:sp macro="" textlink="">
        <xdr:nvSpPr>
          <xdr:cNvPr id="433" name="Retângulo 432">
            <a:extLst>
              <a:ext uri="{FF2B5EF4-FFF2-40B4-BE49-F238E27FC236}">
                <a16:creationId xmlns:a16="http://schemas.microsoft.com/office/drawing/2014/main" id="{00000000-0008-0000-0100-0000B1010000}"/>
              </a:ext>
            </a:extLst>
          </xdr:cNvPr>
          <xdr:cNvSpPr/>
        </xdr:nvSpPr>
        <xdr:spPr>
          <a:xfrm>
            <a:off x="8084351" y="6391648"/>
            <a:ext cx="1745713" cy="17668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Cisalhamento</a:t>
            </a:r>
          </a:p>
        </xdr:txBody>
      </xdr:sp>
      <xdr:sp macro="" textlink="">
        <xdr:nvSpPr>
          <xdr:cNvPr id="434" name="Retângulo 433">
            <a:extLst>
              <a:ext uri="{FF2B5EF4-FFF2-40B4-BE49-F238E27FC236}">
                <a16:creationId xmlns:a16="http://schemas.microsoft.com/office/drawing/2014/main" id="{00000000-0008-0000-0100-0000B2010000}"/>
              </a:ext>
            </a:extLst>
          </xdr:cNvPr>
          <xdr:cNvSpPr/>
        </xdr:nvSpPr>
        <xdr:spPr>
          <a:xfrm>
            <a:off x="8084351" y="6654386"/>
            <a:ext cx="1745713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Deslocamento</a:t>
            </a:r>
          </a:p>
        </xdr:txBody>
      </xdr:sp>
      <xdr:sp macro="" textlink="">
        <xdr:nvSpPr>
          <xdr:cNvPr id="435" name="Retângulo 434">
            <a:extLst>
              <a:ext uri="{FF2B5EF4-FFF2-40B4-BE49-F238E27FC236}">
                <a16:creationId xmlns:a16="http://schemas.microsoft.com/office/drawing/2014/main" id="{00000000-0008-0000-0100-0000B3010000}"/>
              </a:ext>
            </a:extLst>
          </xdr:cNvPr>
          <xdr:cNvSpPr/>
        </xdr:nvSpPr>
        <xdr:spPr>
          <a:xfrm>
            <a:off x="8134901" y="7266199"/>
            <a:ext cx="228026" cy="1793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x</a:t>
            </a:r>
          </a:p>
        </xdr:txBody>
      </xdr:sp>
      <xdr:sp macro="" textlink="">
        <xdr:nvSpPr>
          <xdr:cNvPr id="436" name="Retângulo 435">
            <a:extLst>
              <a:ext uri="{FF2B5EF4-FFF2-40B4-BE49-F238E27FC236}">
                <a16:creationId xmlns:a16="http://schemas.microsoft.com/office/drawing/2014/main" id="{00000000-0008-0000-0100-0000B4010000}"/>
              </a:ext>
            </a:extLst>
          </xdr:cNvPr>
          <xdr:cNvSpPr/>
        </xdr:nvSpPr>
        <xdr:spPr>
          <a:xfrm>
            <a:off x="8134156" y="7162828"/>
            <a:ext cx="1996527" cy="17829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ctr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 Normal</a:t>
            </a:r>
            <a:r>
              <a:rPr lang="pt-BR" sz="800" b="0" baseline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</a:t>
            </a:r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às fibras </a:t>
            </a:r>
          </a:p>
        </xdr:txBody>
      </xdr:sp>
      <xdr:sp macro="" textlink="">
        <xdr:nvSpPr>
          <xdr:cNvPr id="437" name="Retângulo 436">
            <a:extLst>
              <a:ext uri="{FF2B5EF4-FFF2-40B4-BE49-F238E27FC236}">
                <a16:creationId xmlns:a16="http://schemas.microsoft.com/office/drawing/2014/main" id="{00000000-0008-0000-0100-0000B5010000}"/>
              </a:ext>
            </a:extLst>
          </xdr:cNvPr>
          <xdr:cNvSpPr/>
        </xdr:nvSpPr>
        <xdr:spPr>
          <a:xfrm>
            <a:off x="9184425" y="7266199"/>
            <a:ext cx="226024" cy="1793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y</a:t>
            </a:r>
          </a:p>
        </xdr:txBody>
      </xdr:sp>
      <xdr:sp macro="" textlink="">
        <xdr:nvSpPr>
          <xdr:cNvPr id="438" name="Retângulo 437">
            <a:extLst>
              <a:ext uri="{FF2B5EF4-FFF2-40B4-BE49-F238E27FC236}">
                <a16:creationId xmlns:a16="http://schemas.microsoft.com/office/drawing/2014/main" id="{00000000-0008-0000-0100-0000B6010000}"/>
              </a:ext>
            </a:extLst>
          </xdr:cNvPr>
          <xdr:cNvSpPr/>
        </xdr:nvSpPr>
        <xdr:spPr>
          <a:xfrm>
            <a:off x="8084351" y="6924867"/>
            <a:ext cx="1745713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Flambagem Lateral</a:t>
            </a:r>
          </a:p>
        </xdr:txBody>
      </xdr:sp>
      <xdr:sp macro="" textlink="AXD!J21">
        <xdr:nvSpPr>
          <xdr:cNvPr id="120" name="Retângulo 119">
            <a:extLst>
              <a:ext uri="{FF2B5EF4-FFF2-40B4-BE49-F238E27FC236}">
                <a16:creationId xmlns:a16="http://schemas.microsoft.com/office/drawing/2014/main" id="{00000000-0008-0000-0100-000078000000}"/>
              </a:ext>
            </a:extLst>
          </xdr:cNvPr>
          <xdr:cNvSpPr/>
        </xdr:nvSpPr>
        <xdr:spPr>
          <a:xfrm>
            <a:off x="9639895" y="6121859"/>
            <a:ext cx="540593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E70A6464-086E-4896-94BE-12A3D18CF6C6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59%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22">
        <xdr:nvSpPr>
          <xdr:cNvPr id="121" name="Retângulo 120">
            <a:extLst>
              <a:ext uri="{FF2B5EF4-FFF2-40B4-BE49-F238E27FC236}">
                <a16:creationId xmlns:a16="http://schemas.microsoft.com/office/drawing/2014/main" id="{00000000-0008-0000-0100-000079000000}"/>
              </a:ext>
            </a:extLst>
          </xdr:cNvPr>
          <xdr:cNvSpPr/>
        </xdr:nvSpPr>
        <xdr:spPr>
          <a:xfrm>
            <a:off x="9639895" y="6391648"/>
            <a:ext cx="540593" cy="17668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A3FF7F32-3901-448B-88CA-1C7BEF5CDB1E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19%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23">
        <xdr:nvSpPr>
          <xdr:cNvPr id="122" name="Retângulo 121">
            <a:extLst>
              <a:ext uri="{FF2B5EF4-FFF2-40B4-BE49-F238E27FC236}">
                <a16:creationId xmlns:a16="http://schemas.microsoft.com/office/drawing/2014/main" id="{00000000-0008-0000-0100-00007A000000}"/>
              </a:ext>
            </a:extLst>
          </xdr:cNvPr>
          <xdr:cNvSpPr/>
        </xdr:nvSpPr>
        <xdr:spPr>
          <a:xfrm>
            <a:off x="9639895" y="6654386"/>
            <a:ext cx="540593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F9479627-F263-4D1B-B3AC-418EDB2CFADC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56%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24">
        <xdr:nvSpPr>
          <xdr:cNvPr id="123" name="Retângulo 122">
            <a:extLst>
              <a:ext uri="{FF2B5EF4-FFF2-40B4-BE49-F238E27FC236}">
                <a16:creationId xmlns:a16="http://schemas.microsoft.com/office/drawing/2014/main" id="{00000000-0008-0000-0100-00007B000000}"/>
              </a:ext>
            </a:extLst>
          </xdr:cNvPr>
          <xdr:cNvSpPr/>
        </xdr:nvSpPr>
        <xdr:spPr>
          <a:xfrm>
            <a:off x="8667418" y="7266199"/>
            <a:ext cx="540594" cy="1793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661F7D47-9740-46A1-A9CB-35B5A6650103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3%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25">
        <xdr:nvSpPr>
          <xdr:cNvPr id="124" name="Retângulo 123">
            <a:extLst>
              <a:ext uri="{FF2B5EF4-FFF2-40B4-BE49-F238E27FC236}">
                <a16:creationId xmlns:a16="http://schemas.microsoft.com/office/drawing/2014/main" id="{00000000-0008-0000-0100-00007C000000}"/>
              </a:ext>
            </a:extLst>
          </xdr:cNvPr>
          <xdr:cNvSpPr/>
        </xdr:nvSpPr>
        <xdr:spPr>
          <a:xfrm>
            <a:off x="9639895" y="7266199"/>
            <a:ext cx="540593" cy="17934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2F0A94FD-68A1-46B2-81CA-B30C863EDE41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23%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26">
        <xdr:nvSpPr>
          <xdr:cNvPr id="125" name="Retângulo 124">
            <a:extLst>
              <a:ext uri="{FF2B5EF4-FFF2-40B4-BE49-F238E27FC236}">
                <a16:creationId xmlns:a16="http://schemas.microsoft.com/office/drawing/2014/main" id="{00000000-0008-0000-0100-00007D000000}"/>
              </a:ext>
            </a:extLst>
          </xdr:cNvPr>
          <xdr:cNvSpPr/>
        </xdr:nvSpPr>
        <xdr:spPr>
          <a:xfrm>
            <a:off x="9634791" y="6924867"/>
            <a:ext cx="545697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2E3FCDB0-55E8-4FC4-B622-4AF2705D102D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42%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21</xdr:col>
      <xdr:colOff>342641</xdr:colOff>
      <xdr:row>40</xdr:row>
      <xdr:rowOff>98041</xdr:rowOff>
    </xdr:from>
    <xdr:to>
      <xdr:col>24</xdr:col>
      <xdr:colOff>606875</xdr:colOff>
      <xdr:row>57</xdr:row>
      <xdr:rowOff>35947</xdr:rowOff>
    </xdr:to>
    <xdr:grpSp>
      <xdr:nvGrpSpPr>
        <xdr:cNvPr id="29707" name="Agrupar 29706">
          <a:extLst>
            <a:ext uri="{FF2B5EF4-FFF2-40B4-BE49-F238E27FC236}">
              <a16:creationId xmlns:a16="http://schemas.microsoft.com/office/drawing/2014/main" id="{00000000-0008-0000-0100-00000B740000}"/>
            </a:ext>
          </a:extLst>
        </xdr:cNvPr>
        <xdr:cNvGrpSpPr/>
      </xdr:nvGrpSpPr>
      <xdr:grpSpPr>
        <a:xfrm>
          <a:off x="10568681" y="6194041"/>
          <a:ext cx="2138754" cy="2391546"/>
          <a:chOff x="10317846" y="6121859"/>
          <a:chExt cx="2094820" cy="2360084"/>
        </a:xfrm>
      </xdr:grpSpPr>
      <xdr:sp macro="" textlink="">
        <xdr:nvSpPr>
          <xdr:cNvPr id="482" name="Retângulo 481">
            <a:extLst>
              <a:ext uri="{FF2B5EF4-FFF2-40B4-BE49-F238E27FC236}">
                <a16:creationId xmlns:a16="http://schemas.microsoft.com/office/drawing/2014/main" id="{00000000-0008-0000-0100-0000E2010000}"/>
              </a:ext>
            </a:extLst>
          </xdr:cNvPr>
          <xdr:cNvSpPr/>
        </xdr:nvSpPr>
        <xdr:spPr>
          <a:xfrm>
            <a:off x="10369048" y="7059522"/>
            <a:ext cx="490982" cy="18086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3</a:t>
            </a:r>
          </a:p>
        </xdr:txBody>
      </xdr:sp>
      <xdr:sp macro="" textlink="">
        <xdr:nvSpPr>
          <xdr:cNvPr id="484" name="Retângulo 483">
            <a:extLst>
              <a:ext uri="{FF2B5EF4-FFF2-40B4-BE49-F238E27FC236}">
                <a16:creationId xmlns:a16="http://schemas.microsoft.com/office/drawing/2014/main" id="{00000000-0008-0000-0100-0000E4010000}"/>
              </a:ext>
            </a:extLst>
          </xdr:cNvPr>
          <xdr:cNvSpPr/>
        </xdr:nvSpPr>
        <xdr:spPr>
          <a:xfrm>
            <a:off x="10369882" y="7380628"/>
            <a:ext cx="490982" cy="18040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1</a:t>
            </a:r>
          </a:p>
        </xdr:txBody>
      </xdr:sp>
      <xdr:sp macro="" textlink="">
        <xdr:nvSpPr>
          <xdr:cNvPr id="486" name="Retângulo 485">
            <a:extLst>
              <a:ext uri="{FF2B5EF4-FFF2-40B4-BE49-F238E27FC236}">
                <a16:creationId xmlns:a16="http://schemas.microsoft.com/office/drawing/2014/main" id="{00000000-0008-0000-0100-0000E6010000}"/>
              </a:ext>
            </a:extLst>
          </xdr:cNvPr>
          <xdr:cNvSpPr/>
        </xdr:nvSpPr>
        <xdr:spPr>
          <a:xfrm>
            <a:off x="11398999" y="7380628"/>
            <a:ext cx="488971" cy="18040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5</a:t>
            </a:r>
          </a:p>
        </xdr:txBody>
      </xdr:sp>
      <xdr:sp macro="" textlink="">
        <xdr:nvSpPr>
          <xdr:cNvPr id="492" name="Retângulo 491">
            <a:extLst>
              <a:ext uri="{FF2B5EF4-FFF2-40B4-BE49-F238E27FC236}">
                <a16:creationId xmlns:a16="http://schemas.microsoft.com/office/drawing/2014/main" id="{00000000-0008-0000-0100-0000EC010000}"/>
              </a:ext>
            </a:extLst>
          </xdr:cNvPr>
          <xdr:cNvSpPr/>
        </xdr:nvSpPr>
        <xdr:spPr>
          <a:xfrm>
            <a:off x="10366545" y="8304171"/>
            <a:ext cx="713539" cy="17777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Banzo Inferior</a:t>
            </a:r>
          </a:p>
        </xdr:txBody>
      </xdr:sp>
      <xdr:sp macro="" textlink="">
        <xdr:nvSpPr>
          <xdr:cNvPr id="494" name="Retângulo 493">
            <a:extLst>
              <a:ext uri="{FF2B5EF4-FFF2-40B4-BE49-F238E27FC236}">
                <a16:creationId xmlns:a16="http://schemas.microsoft.com/office/drawing/2014/main" id="{00000000-0008-0000-0100-0000EE010000}"/>
              </a:ext>
            </a:extLst>
          </xdr:cNvPr>
          <xdr:cNvSpPr/>
        </xdr:nvSpPr>
        <xdr:spPr>
          <a:xfrm>
            <a:off x="11398999" y="8304171"/>
            <a:ext cx="737816" cy="17777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Banzo Superior</a:t>
            </a:r>
          </a:p>
        </xdr:txBody>
      </xdr:sp>
      <xdr:sp macro="" textlink="">
        <xdr:nvSpPr>
          <xdr:cNvPr id="503" name="Retângulo 502">
            <a:extLst>
              <a:ext uri="{FF2B5EF4-FFF2-40B4-BE49-F238E27FC236}">
                <a16:creationId xmlns:a16="http://schemas.microsoft.com/office/drawing/2014/main" id="{00000000-0008-0000-0100-0000F7010000}"/>
              </a:ext>
            </a:extLst>
          </xdr:cNvPr>
          <xdr:cNvSpPr/>
        </xdr:nvSpPr>
        <xdr:spPr>
          <a:xfrm>
            <a:off x="11398999" y="7059522"/>
            <a:ext cx="490982" cy="18086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4</a:t>
            </a:r>
          </a:p>
        </xdr:txBody>
      </xdr:sp>
      <xdr:sp macro="" textlink="">
        <xdr:nvSpPr>
          <xdr:cNvPr id="477" name="Retângulo 476">
            <a:extLst>
              <a:ext uri="{FF2B5EF4-FFF2-40B4-BE49-F238E27FC236}">
                <a16:creationId xmlns:a16="http://schemas.microsoft.com/office/drawing/2014/main" id="{00000000-0008-0000-0100-0000DD010000}"/>
              </a:ext>
            </a:extLst>
          </xdr:cNvPr>
          <xdr:cNvSpPr/>
        </xdr:nvSpPr>
        <xdr:spPr>
          <a:xfrm>
            <a:off x="10317846" y="6121859"/>
            <a:ext cx="1749679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Deslocamento </a:t>
            </a:r>
          </a:p>
        </xdr:txBody>
      </xdr:sp>
      <xdr:sp macro="" textlink="">
        <xdr:nvSpPr>
          <xdr:cNvPr id="478" name="Retângulo 477">
            <a:extLst>
              <a:ext uri="{FF2B5EF4-FFF2-40B4-BE49-F238E27FC236}">
                <a16:creationId xmlns:a16="http://schemas.microsoft.com/office/drawing/2014/main" id="{00000000-0008-0000-0100-0000DE010000}"/>
              </a:ext>
            </a:extLst>
          </xdr:cNvPr>
          <xdr:cNvSpPr/>
        </xdr:nvSpPr>
        <xdr:spPr>
          <a:xfrm>
            <a:off x="10317846" y="6654386"/>
            <a:ext cx="1749679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Ligações </a:t>
            </a:r>
          </a:p>
        </xdr:txBody>
      </xdr:sp>
      <xdr:sp macro="" textlink="">
        <xdr:nvSpPr>
          <xdr:cNvPr id="479" name="Retângulo 478">
            <a:extLst>
              <a:ext uri="{FF2B5EF4-FFF2-40B4-BE49-F238E27FC236}">
                <a16:creationId xmlns:a16="http://schemas.microsoft.com/office/drawing/2014/main" id="{00000000-0008-0000-0100-0000DF010000}"/>
              </a:ext>
            </a:extLst>
          </xdr:cNvPr>
          <xdr:cNvSpPr/>
        </xdr:nvSpPr>
        <xdr:spPr>
          <a:xfrm>
            <a:off x="10317846" y="6391648"/>
            <a:ext cx="1749679" cy="17668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tlCol="0" anchor="ctr"/>
          <a:lstStyle/>
          <a:p>
            <a:pPr algn="l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 normal às fibras </a:t>
            </a:r>
          </a:p>
        </xdr:txBody>
      </xdr:sp>
      <xdr:sp macro="" textlink="">
        <xdr:nvSpPr>
          <xdr:cNvPr id="483" name="Retângulo 482">
            <a:extLst>
              <a:ext uri="{FF2B5EF4-FFF2-40B4-BE49-F238E27FC236}">
                <a16:creationId xmlns:a16="http://schemas.microsoft.com/office/drawing/2014/main" id="{00000000-0008-0000-0100-0000E3010000}"/>
              </a:ext>
            </a:extLst>
          </xdr:cNvPr>
          <xdr:cNvSpPr/>
        </xdr:nvSpPr>
        <xdr:spPr>
          <a:xfrm>
            <a:off x="10369044" y="6916608"/>
            <a:ext cx="1964228" cy="18086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  </a:t>
            </a:r>
          </a:p>
        </xdr:txBody>
      </xdr:sp>
      <xdr:sp macro="" textlink="">
        <xdr:nvSpPr>
          <xdr:cNvPr id="485" name="Retângulo 484">
            <a:extLst>
              <a:ext uri="{FF2B5EF4-FFF2-40B4-BE49-F238E27FC236}">
                <a16:creationId xmlns:a16="http://schemas.microsoft.com/office/drawing/2014/main" id="{00000000-0008-0000-0100-0000E5010000}"/>
              </a:ext>
            </a:extLst>
          </xdr:cNvPr>
          <xdr:cNvSpPr/>
        </xdr:nvSpPr>
        <xdr:spPr>
          <a:xfrm>
            <a:off x="10369877" y="7274503"/>
            <a:ext cx="1964228" cy="17473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Tração </a:t>
            </a:r>
          </a:p>
        </xdr:txBody>
      </xdr:sp>
      <xdr:sp macro="" textlink="">
        <xdr:nvSpPr>
          <xdr:cNvPr id="488" name="Retângulo 487">
            <a:extLst>
              <a:ext uri="{FF2B5EF4-FFF2-40B4-BE49-F238E27FC236}">
                <a16:creationId xmlns:a16="http://schemas.microsoft.com/office/drawing/2014/main" id="{00000000-0008-0000-0100-0000E8010000}"/>
              </a:ext>
            </a:extLst>
          </xdr:cNvPr>
          <xdr:cNvSpPr/>
        </xdr:nvSpPr>
        <xdr:spPr>
          <a:xfrm>
            <a:off x="10370857" y="7628218"/>
            <a:ext cx="1963837" cy="17454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Flambagem dentro do plano </a:t>
            </a:r>
          </a:p>
        </xdr:txBody>
      </xdr:sp>
      <xdr:sp macro="" textlink="">
        <xdr:nvSpPr>
          <xdr:cNvPr id="493" name="Retângulo 492">
            <a:extLst>
              <a:ext uri="{FF2B5EF4-FFF2-40B4-BE49-F238E27FC236}">
                <a16:creationId xmlns:a16="http://schemas.microsoft.com/office/drawing/2014/main" id="{00000000-0008-0000-0100-0000ED010000}"/>
              </a:ext>
            </a:extLst>
          </xdr:cNvPr>
          <xdr:cNvSpPr/>
        </xdr:nvSpPr>
        <xdr:spPr>
          <a:xfrm>
            <a:off x="10366541" y="8186536"/>
            <a:ext cx="1964228" cy="17795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8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Flambagem fora do Plano </a:t>
            </a:r>
          </a:p>
        </xdr:txBody>
      </xdr:sp>
      <xdr:sp macro="" textlink="AXD!J29">
        <xdr:nvSpPr>
          <xdr:cNvPr id="82" name="Retângulo 81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SpPr/>
        </xdr:nvSpPr>
        <xdr:spPr>
          <a:xfrm>
            <a:off x="10912275" y="7380628"/>
            <a:ext cx="541039" cy="18040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503EA9FD-EE5C-47D6-ABB6-B9F6DD0E806B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25%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30">
        <xdr:nvSpPr>
          <xdr:cNvPr id="83" name="Retângulo 82">
            <a:extLst>
              <a:ext uri="{FF2B5EF4-FFF2-40B4-BE49-F238E27FC236}">
                <a16:creationId xmlns:a16="http://schemas.microsoft.com/office/drawing/2014/main" id="{00000000-0008-0000-0100-000053000000}"/>
              </a:ext>
            </a:extLst>
          </xdr:cNvPr>
          <xdr:cNvSpPr/>
        </xdr:nvSpPr>
        <xdr:spPr>
          <a:xfrm>
            <a:off x="11872666" y="7380628"/>
            <a:ext cx="540000" cy="18040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D7401B2D-DC8E-445C-95F1-FC3A383B06DB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5%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33">
        <xdr:nvSpPr>
          <xdr:cNvPr id="85" name="Retângulo 84">
            <a:extLst>
              <a:ext uri="{FF2B5EF4-FFF2-40B4-BE49-F238E27FC236}">
                <a16:creationId xmlns:a16="http://schemas.microsoft.com/office/drawing/2014/main" id="{00000000-0008-0000-0100-000055000000}"/>
              </a:ext>
            </a:extLst>
          </xdr:cNvPr>
          <xdr:cNvSpPr/>
        </xdr:nvSpPr>
        <xdr:spPr>
          <a:xfrm>
            <a:off x="10912275" y="8300283"/>
            <a:ext cx="541039" cy="1816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A284BA03-F9C4-449C-995A-24090D099AD0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74%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34">
        <xdr:nvSpPr>
          <xdr:cNvPr id="86" name="Retângulo 85">
            <a:extLst>
              <a:ext uri="{FF2B5EF4-FFF2-40B4-BE49-F238E27FC236}">
                <a16:creationId xmlns:a16="http://schemas.microsoft.com/office/drawing/2014/main" id="{00000000-0008-0000-0100-000056000000}"/>
              </a:ext>
            </a:extLst>
          </xdr:cNvPr>
          <xdr:cNvSpPr/>
        </xdr:nvSpPr>
        <xdr:spPr>
          <a:xfrm>
            <a:off x="11872666" y="6391648"/>
            <a:ext cx="540000" cy="17668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D7B900E9-1345-4FF1-B72C-1BFABEBA86E2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36%</a:t>
            </a:fld>
            <a:endParaRPr lang="pt-BR" sz="8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35">
        <xdr:nvSpPr>
          <xdr:cNvPr id="87" name="Retângulo 86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/>
        </xdr:nvSpPr>
        <xdr:spPr>
          <a:xfrm>
            <a:off x="11872666" y="6121859"/>
            <a:ext cx="540000" cy="17668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marL="0" indent="0" algn="r"/>
            <a:fld id="{DAFDF1F4-21A9-48C4-9811-17B62FC4974B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15%</a:t>
            </a:fld>
            <a:endParaRPr lang="pt-BR" sz="8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37">
        <xdr:nvSpPr>
          <xdr:cNvPr id="29717" name="Retângulo 29716">
            <a:extLst>
              <a:ext uri="{FF2B5EF4-FFF2-40B4-BE49-F238E27FC236}">
                <a16:creationId xmlns:a16="http://schemas.microsoft.com/office/drawing/2014/main" id="{00000000-0008-0000-0100-000015740000}"/>
              </a:ext>
            </a:extLst>
          </xdr:cNvPr>
          <xdr:cNvSpPr/>
        </xdr:nvSpPr>
        <xdr:spPr>
          <a:xfrm>
            <a:off x="11872666" y="7059522"/>
            <a:ext cx="540000" cy="18086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2013B58C-CD35-4644-9010-11032ED55287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11%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40">
        <xdr:nvSpPr>
          <xdr:cNvPr id="29720" name="Retângulo 29719">
            <a:extLst>
              <a:ext uri="{FF2B5EF4-FFF2-40B4-BE49-F238E27FC236}">
                <a16:creationId xmlns:a16="http://schemas.microsoft.com/office/drawing/2014/main" id="{00000000-0008-0000-0100-000018740000}"/>
              </a:ext>
            </a:extLst>
          </xdr:cNvPr>
          <xdr:cNvSpPr/>
        </xdr:nvSpPr>
        <xdr:spPr>
          <a:xfrm>
            <a:off x="11872666" y="8304027"/>
            <a:ext cx="540000" cy="17791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marL="0" indent="0" algn="r"/>
            <a:fld id="{D8E12393-68BD-4FFC-8496-7541E16E52BD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48%</a:t>
            </a:fld>
            <a:endParaRPr lang="pt-BR" sz="7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41">
        <xdr:nvSpPr>
          <xdr:cNvPr id="29722" name="Retângulo 29721">
            <a:extLst>
              <a:ext uri="{FF2B5EF4-FFF2-40B4-BE49-F238E27FC236}">
                <a16:creationId xmlns:a16="http://schemas.microsoft.com/office/drawing/2014/main" id="{00000000-0008-0000-0100-00001A740000}"/>
              </a:ext>
            </a:extLst>
          </xdr:cNvPr>
          <xdr:cNvSpPr/>
        </xdr:nvSpPr>
        <xdr:spPr>
          <a:xfrm>
            <a:off x="11872666" y="6654386"/>
            <a:ext cx="540000" cy="1794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marL="0" indent="0" algn="r"/>
            <a:fld id="{52FFB8C8-5E33-4F1E-B480-1D0F2E471715}" type="TxLink">
              <a:rPr lang="en-US" sz="8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120%</a:t>
            </a:fld>
            <a:endParaRPr lang="pt-BR" sz="8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36">
        <xdr:nvSpPr>
          <xdr:cNvPr id="88" name="Retângulo 87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SpPr/>
        </xdr:nvSpPr>
        <xdr:spPr>
          <a:xfrm>
            <a:off x="10911489" y="7059522"/>
            <a:ext cx="541825" cy="18086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marL="0" indent="0" algn="r"/>
            <a:fld id="{9B6EA099-B7E6-4C5D-8EFE-A6FEBA9FE0FD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32%</a:t>
            </a:fld>
            <a:endParaRPr lang="pt-BR" sz="7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">
        <xdr:nvSpPr>
          <xdr:cNvPr id="487" name="Retângulo 486">
            <a:extLst>
              <a:ext uri="{FF2B5EF4-FFF2-40B4-BE49-F238E27FC236}">
                <a16:creationId xmlns:a16="http://schemas.microsoft.com/office/drawing/2014/main" id="{00000000-0008-0000-0100-0000E7010000}"/>
              </a:ext>
            </a:extLst>
          </xdr:cNvPr>
          <xdr:cNvSpPr/>
        </xdr:nvSpPr>
        <xdr:spPr>
          <a:xfrm>
            <a:off x="10370862" y="7735069"/>
            <a:ext cx="490379" cy="17925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1</a:t>
            </a:r>
          </a:p>
        </xdr:txBody>
      </xdr:sp>
      <xdr:sp macro="" textlink="">
        <xdr:nvSpPr>
          <xdr:cNvPr id="489" name="Retângulo 488">
            <a:extLst>
              <a:ext uri="{FF2B5EF4-FFF2-40B4-BE49-F238E27FC236}">
                <a16:creationId xmlns:a16="http://schemas.microsoft.com/office/drawing/2014/main" id="{00000000-0008-0000-0100-0000E9010000}"/>
              </a:ext>
            </a:extLst>
          </xdr:cNvPr>
          <xdr:cNvSpPr/>
        </xdr:nvSpPr>
        <xdr:spPr>
          <a:xfrm>
            <a:off x="11398999" y="7735069"/>
            <a:ext cx="490379" cy="17925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3</a:t>
            </a:r>
          </a:p>
        </xdr:txBody>
      </xdr:sp>
      <xdr:sp macro="" textlink="AXD!J38">
        <xdr:nvSpPr>
          <xdr:cNvPr id="29718" name="Retângulo 29717">
            <a:extLst>
              <a:ext uri="{FF2B5EF4-FFF2-40B4-BE49-F238E27FC236}">
                <a16:creationId xmlns:a16="http://schemas.microsoft.com/office/drawing/2014/main" id="{00000000-0008-0000-0100-000016740000}"/>
              </a:ext>
            </a:extLst>
          </xdr:cNvPr>
          <xdr:cNvSpPr/>
        </xdr:nvSpPr>
        <xdr:spPr>
          <a:xfrm>
            <a:off x="11872666" y="7735069"/>
            <a:ext cx="540000" cy="17925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marL="0" indent="0" algn="r"/>
            <a:fld id="{31C13672-17B7-4CA8-A07A-A296E379769B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38%</a:t>
            </a:fld>
            <a:endParaRPr lang="pt-BR" sz="7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sp macro="" textlink="AXD!J31">
        <xdr:nvSpPr>
          <xdr:cNvPr id="89" name="Retângulo 88">
            <a:extLst>
              <a:ext uri="{FF2B5EF4-FFF2-40B4-BE49-F238E27FC236}">
                <a16:creationId xmlns:a16="http://schemas.microsoft.com/office/drawing/2014/main" id="{00000000-0008-0000-0100-000059000000}"/>
              </a:ext>
            </a:extLst>
          </xdr:cNvPr>
          <xdr:cNvSpPr/>
        </xdr:nvSpPr>
        <xdr:spPr>
          <a:xfrm>
            <a:off x="10911489" y="7735069"/>
            <a:ext cx="541825" cy="17925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3C6D06A5-0D42-4C3B-B465-76ECCFC3F778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59%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490" name="Retângulo 489">
            <a:extLst>
              <a:ext uri="{FF2B5EF4-FFF2-40B4-BE49-F238E27FC236}">
                <a16:creationId xmlns:a16="http://schemas.microsoft.com/office/drawing/2014/main" id="{00000000-0008-0000-0100-0000EA010000}"/>
              </a:ext>
            </a:extLst>
          </xdr:cNvPr>
          <xdr:cNvSpPr/>
        </xdr:nvSpPr>
        <xdr:spPr>
          <a:xfrm>
            <a:off x="10371700" y="7936251"/>
            <a:ext cx="490379" cy="1771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4</a:t>
            </a:r>
          </a:p>
        </xdr:txBody>
      </xdr:sp>
      <xdr:sp macro="" textlink="">
        <xdr:nvSpPr>
          <xdr:cNvPr id="491" name="Retângulo 490">
            <a:extLst>
              <a:ext uri="{FF2B5EF4-FFF2-40B4-BE49-F238E27FC236}">
                <a16:creationId xmlns:a16="http://schemas.microsoft.com/office/drawing/2014/main" id="{00000000-0008-0000-0100-0000EB010000}"/>
              </a:ext>
            </a:extLst>
          </xdr:cNvPr>
          <xdr:cNvSpPr/>
        </xdr:nvSpPr>
        <xdr:spPr>
          <a:xfrm>
            <a:off x="11398999" y="7936251"/>
            <a:ext cx="490379" cy="1771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rtlCol="0" anchor="ctr"/>
          <a:lstStyle/>
          <a:p>
            <a:pPr algn="l"/>
            <a:r>
              <a:rPr lang="pt-BR" sz="700" b="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Barra 5</a:t>
            </a:r>
          </a:p>
        </xdr:txBody>
      </xdr:sp>
      <xdr:sp macro="" textlink="AXD!J32">
        <xdr:nvSpPr>
          <xdr:cNvPr id="84" name="Retângulo 83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SpPr/>
        </xdr:nvSpPr>
        <xdr:spPr>
          <a:xfrm>
            <a:off x="11872666" y="7934290"/>
            <a:ext cx="540000" cy="17910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algn="r"/>
            <a:fld id="{743D4562-6245-4ABB-B997-45A3E7F957C6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r"/>
              <a:t>22%</a:t>
            </a:fld>
            <a:endParaRPr lang="pt-BR" sz="700" b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D!J39">
        <xdr:nvSpPr>
          <xdr:cNvPr id="29719" name="Retângulo 29718">
            <a:extLst>
              <a:ext uri="{FF2B5EF4-FFF2-40B4-BE49-F238E27FC236}">
                <a16:creationId xmlns:a16="http://schemas.microsoft.com/office/drawing/2014/main" id="{00000000-0008-0000-0100-000017740000}"/>
              </a:ext>
            </a:extLst>
          </xdr:cNvPr>
          <xdr:cNvSpPr/>
        </xdr:nvSpPr>
        <xdr:spPr>
          <a:xfrm>
            <a:off x="10912275" y="7940644"/>
            <a:ext cx="541039" cy="17274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Ins="144000" rtlCol="0" anchor="ctr"/>
          <a:lstStyle/>
          <a:p>
            <a:pPr marL="0" indent="0" algn="r"/>
            <a:fld id="{98C7F167-C259-4414-A76E-6E60729AC9A6}" type="TxLink">
              <a:rPr lang="en-US" sz="700" b="0" i="0" u="none" strike="noStrike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pPr marL="0" indent="0" algn="r"/>
              <a:t>38%</a:t>
            </a:fld>
            <a:endParaRPr lang="pt-BR" sz="700" b="0" i="0" u="none" strike="noStrike">
              <a:solidFill>
                <a:schemeClr val="bg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16</xdr:col>
      <xdr:colOff>554633</xdr:colOff>
      <xdr:row>60</xdr:row>
      <xdr:rowOff>106679</xdr:rowOff>
    </xdr:from>
    <xdr:to>
      <xdr:col>18</xdr:col>
      <xdr:colOff>342411</xdr:colOff>
      <xdr:row>62</xdr:row>
      <xdr:rowOff>109739</xdr:rowOff>
    </xdr:to>
    <xdr:grpSp>
      <xdr:nvGrpSpPr>
        <xdr:cNvPr id="388" name="Agrupar 38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GrpSpPr/>
      </xdr:nvGrpSpPr>
      <xdr:grpSpPr>
        <a:xfrm>
          <a:off x="7656473" y="9159239"/>
          <a:ext cx="1037458" cy="254520"/>
          <a:chOff x="7427060" y="9097597"/>
          <a:chExt cx="1000507" cy="245414"/>
        </a:xfrm>
      </xdr:grpSpPr>
      <xdr:sp macro="" textlink="">
        <xdr:nvSpPr>
          <xdr:cNvPr id="389" name="Retângulo: Cantos Arredondados 388">
            <a:extLst>
              <a:ext uri="{FF2B5EF4-FFF2-40B4-BE49-F238E27FC236}">
                <a16:creationId xmlns:a16="http://schemas.microsoft.com/office/drawing/2014/main" id="{00000000-0008-0000-0100-000085010000}"/>
              </a:ext>
            </a:extLst>
          </xdr:cNvPr>
          <xdr:cNvSpPr/>
        </xdr:nvSpPr>
        <xdr:spPr>
          <a:xfrm>
            <a:off x="7427060" y="9097597"/>
            <a:ext cx="1000507" cy="245414"/>
          </a:xfrm>
          <a:prstGeom prst="roundRect">
            <a:avLst>
              <a:gd name="adj" fmla="val 50000"/>
            </a:avLst>
          </a:prstGeom>
          <a:noFill/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r>
              <a:rPr lang="pt-BR" sz="1100">
                <a:solidFill>
                  <a:schemeClr val="lt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Ligações</a:t>
            </a:r>
          </a:p>
        </xdr:txBody>
      </xdr:sp>
      <xdr:sp macro="" textlink="">
        <xdr:nvSpPr>
          <xdr:cNvPr id="390" name="Forma Livre: Forma 389">
            <a:extLst>
              <a:ext uri="{FF2B5EF4-FFF2-40B4-BE49-F238E27FC236}">
                <a16:creationId xmlns:a16="http://schemas.microsoft.com/office/drawing/2014/main" id="{00000000-0008-0000-0100-000086010000}"/>
              </a:ext>
            </a:extLst>
          </xdr:cNvPr>
          <xdr:cNvSpPr>
            <a:spLocks noChangeAspect="1"/>
          </xdr:cNvSpPr>
        </xdr:nvSpPr>
        <xdr:spPr>
          <a:xfrm>
            <a:off x="7472502" y="9126278"/>
            <a:ext cx="182382" cy="182623"/>
          </a:xfrm>
          <a:custGeom>
            <a:avLst/>
            <a:gdLst>
              <a:gd name="connsiteX0" fmla="*/ 2123136 w 4250872"/>
              <a:gd name="connsiteY0" fmla="*/ 2070418 h 4250872"/>
              <a:gd name="connsiteX1" fmla="*/ 2154685 w 4250872"/>
              <a:gd name="connsiteY1" fmla="*/ 2096189 h 4250872"/>
              <a:gd name="connsiteX2" fmla="*/ 2170560 w 4250872"/>
              <a:gd name="connsiteY2" fmla="*/ 2115622 h 4250872"/>
              <a:gd name="connsiteX3" fmla="*/ 2139010 w 4250872"/>
              <a:gd name="connsiteY3" fmla="*/ 2089852 h 4250872"/>
              <a:gd name="connsiteX4" fmla="*/ 1601747 w 4250872"/>
              <a:gd name="connsiteY4" fmla="*/ 1799924 h 4250872"/>
              <a:gd name="connsiteX5" fmla="*/ 1590811 w 4250872"/>
              <a:gd name="connsiteY5" fmla="*/ 1836827 h 4250872"/>
              <a:gd name="connsiteX6" fmla="*/ 1590811 w 4250872"/>
              <a:gd name="connsiteY6" fmla="*/ 2104985 h 4250872"/>
              <a:gd name="connsiteX7" fmla="*/ 1624149 w 4250872"/>
              <a:gd name="connsiteY7" fmla="*/ 2217478 h 4250872"/>
              <a:gd name="connsiteX8" fmla="*/ 1202591 w 4250872"/>
              <a:gd name="connsiteY8" fmla="*/ 2639037 h 4250872"/>
              <a:gd name="connsiteX9" fmla="*/ 1202591 w 4250872"/>
              <a:gd name="connsiteY9" fmla="*/ 3048283 h 4250872"/>
              <a:gd name="connsiteX10" fmla="*/ 1611837 w 4250872"/>
              <a:gd name="connsiteY10" fmla="*/ 3048283 h 4250872"/>
              <a:gd name="connsiteX11" fmla="*/ 2033396 w 4250872"/>
              <a:gd name="connsiteY11" fmla="*/ 2626725 h 4250872"/>
              <a:gd name="connsiteX12" fmla="*/ 2102651 w 4250872"/>
              <a:gd name="connsiteY12" fmla="*/ 2557470 h 4250872"/>
              <a:gd name="connsiteX13" fmla="*/ 2158846 w 4250872"/>
              <a:gd name="connsiteY13" fmla="*/ 2574124 h 4250872"/>
              <a:gd name="connsiteX14" fmla="*/ 2504731 w 4250872"/>
              <a:gd name="connsiteY14" fmla="*/ 2540640 h 4250872"/>
              <a:gd name="connsiteX15" fmla="*/ 2519089 w 4250872"/>
              <a:gd name="connsiteY15" fmla="*/ 2533084 h 4250872"/>
              <a:gd name="connsiteX16" fmla="*/ 2470838 w 4250872"/>
              <a:gd name="connsiteY16" fmla="*/ 2624776 h 4250872"/>
              <a:gd name="connsiteX17" fmla="*/ 2450947 w 4250872"/>
              <a:gd name="connsiteY17" fmla="*/ 2649129 h 4250872"/>
              <a:gd name="connsiteX18" fmla="*/ 2392710 w 4250872"/>
              <a:gd name="connsiteY18" fmla="*/ 2720423 h 4250872"/>
              <a:gd name="connsiteX19" fmla="*/ 1826826 w 4250872"/>
              <a:gd name="connsiteY19" fmla="*/ 3286306 h 4250872"/>
              <a:gd name="connsiteX20" fmla="*/ 1060213 w 4250872"/>
              <a:gd name="connsiteY20" fmla="*/ 3364435 h 4250872"/>
              <a:gd name="connsiteX21" fmla="*/ 964566 w 4250872"/>
              <a:gd name="connsiteY21" fmla="*/ 3286306 h 4250872"/>
              <a:gd name="connsiteX22" fmla="*/ 886438 w 4250872"/>
              <a:gd name="connsiteY22" fmla="*/ 3190660 h 4250872"/>
              <a:gd name="connsiteX23" fmla="*/ 964567 w 4250872"/>
              <a:gd name="connsiteY23" fmla="*/ 2424047 h 4250872"/>
              <a:gd name="connsiteX24" fmla="*/ 1530449 w 4250872"/>
              <a:gd name="connsiteY24" fmla="*/ 1858164 h 4250872"/>
              <a:gd name="connsiteX25" fmla="*/ 2199462 w 4250872"/>
              <a:gd name="connsiteY25" fmla="*/ 1728672 h 4250872"/>
              <a:gd name="connsiteX26" fmla="*/ 2297062 w 4250872"/>
              <a:gd name="connsiteY26" fmla="*/ 1780034 h 4250872"/>
              <a:gd name="connsiteX27" fmla="*/ 2392709 w 4250872"/>
              <a:gd name="connsiteY27" fmla="*/ 1858163 h 4250872"/>
              <a:gd name="connsiteX28" fmla="*/ 2392710 w 4250872"/>
              <a:gd name="connsiteY28" fmla="*/ 1858162 h 4250872"/>
              <a:gd name="connsiteX29" fmla="*/ 2470839 w 4250872"/>
              <a:gd name="connsiteY29" fmla="*/ 1953809 h 4250872"/>
              <a:gd name="connsiteX30" fmla="*/ 2507023 w 4250872"/>
              <a:gd name="connsiteY30" fmla="*/ 2022568 h 4250872"/>
              <a:gd name="connsiteX31" fmla="*/ 2526645 w 4250872"/>
              <a:gd name="connsiteY31" fmla="*/ 2059857 h 4250872"/>
              <a:gd name="connsiteX32" fmla="*/ 2543475 w 4250872"/>
              <a:gd name="connsiteY32" fmla="*/ 2116644 h 4250872"/>
              <a:gd name="connsiteX33" fmla="*/ 2560128 w 4250872"/>
              <a:gd name="connsiteY33" fmla="*/ 2172840 h 4250872"/>
              <a:gd name="connsiteX34" fmla="*/ 2526644 w 4250872"/>
              <a:gd name="connsiteY34" fmla="*/ 2518725 h 4250872"/>
              <a:gd name="connsiteX35" fmla="*/ 2519089 w 4250872"/>
              <a:gd name="connsiteY35" fmla="*/ 2533083 h 4250872"/>
              <a:gd name="connsiteX36" fmla="*/ 2504731 w 4250872"/>
              <a:gd name="connsiteY36" fmla="*/ 2540638 h 4250872"/>
              <a:gd name="connsiteX37" fmla="*/ 2158846 w 4250872"/>
              <a:gd name="connsiteY37" fmla="*/ 2574122 h 4250872"/>
              <a:gd name="connsiteX38" fmla="*/ 2102651 w 4250872"/>
              <a:gd name="connsiteY38" fmla="*/ 2557468 h 4250872"/>
              <a:gd name="connsiteX39" fmla="*/ 2154685 w 4250872"/>
              <a:gd name="connsiteY39" fmla="*/ 2505434 h 4250872"/>
              <a:gd name="connsiteX40" fmla="*/ 2234146 w 4250872"/>
              <a:gd name="connsiteY40" fmla="*/ 2245541 h 4250872"/>
              <a:gd name="connsiteX41" fmla="*/ 2232196 w 4250872"/>
              <a:gd name="connsiteY41" fmla="*/ 2238963 h 4250872"/>
              <a:gd name="connsiteX42" fmla="*/ 2218254 w 4250872"/>
              <a:gd name="connsiteY42" fmla="*/ 2191917 h 4250872"/>
              <a:gd name="connsiteX43" fmla="*/ 2191767 w 4250872"/>
              <a:gd name="connsiteY43" fmla="*/ 2141583 h 4250872"/>
              <a:gd name="connsiteX44" fmla="*/ 2170560 w 4250872"/>
              <a:gd name="connsiteY44" fmla="*/ 2115620 h 4250872"/>
              <a:gd name="connsiteX45" fmla="*/ 2170561 w 4250872"/>
              <a:gd name="connsiteY45" fmla="*/ 2115621 h 4250872"/>
              <a:gd name="connsiteX46" fmla="*/ 2154686 w 4250872"/>
              <a:gd name="connsiteY46" fmla="*/ 2096188 h 4250872"/>
              <a:gd name="connsiteX47" fmla="*/ 2123136 w 4250872"/>
              <a:gd name="connsiteY47" fmla="*/ 2070417 h 4250872"/>
              <a:gd name="connsiteX48" fmla="*/ 2111763 w 4250872"/>
              <a:gd name="connsiteY48" fmla="*/ 2056493 h 4250872"/>
              <a:gd name="connsiteX49" fmla="*/ 2139011 w 4250872"/>
              <a:gd name="connsiteY49" fmla="*/ 1789123 h 4250872"/>
              <a:gd name="connsiteX50" fmla="*/ 1990827 w 4250872"/>
              <a:gd name="connsiteY50" fmla="*/ 1680281 h 4250872"/>
              <a:gd name="connsiteX51" fmla="*/ 2078030 w 4250872"/>
              <a:gd name="connsiteY51" fmla="*/ 1690745 h 4250872"/>
              <a:gd name="connsiteX52" fmla="*/ 2134228 w 4250872"/>
              <a:gd name="connsiteY52" fmla="*/ 1707399 h 4250872"/>
              <a:gd name="connsiteX53" fmla="*/ 2089421 w 4250872"/>
              <a:gd name="connsiteY53" fmla="*/ 1752206 h 4250872"/>
              <a:gd name="connsiteX54" fmla="*/ 2009960 w 4250872"/>
              <a:gd name="connsiteY54" fmla="*/ 2012100 h 4250872"/>
              <a:gd name="connsiteX55" fmla="*/ 2011910 w 4250872"/>
              <a:gd name="connsiteY55" fmla="*/ 2018676 h 4250872"/>
              <a:gd name="connsiteX56" fmla="*/ 2011910 w 4250872"/>
              <a:gd name="connsiteY56" fmla="*/ 2018677 h 4250872"/>
              <a:gd name="connsiteX57" fmla="*/ 2025853 w 4250872"/>
              <a:gd name="connsiteY57" fmla="*/ 2065723 h 4250872"/>
              <a:gd name="connsiteX58" fmla="*/ 2052340 w 4250872"/>
              <a:gd name="connsiteY58" fmla="*/ 2116056 h 4250872"/>
              <a:gd name="connsiteX59" fmla="*/ 2089419 w 4250872"/>
              <a:gd name="connsiteY59" fmla="*/ 2161450 h 4250872"/>
              <a:gd name="connsiteX60" fmla="*/ 2089422 w 4250872"/>
              <a:gd name="connsiteY60" fmla="*/ 2161452 h 4250872"/>
              <a:gd name="connsiteX61" fmla="*/ 2089424 w 4250872"/>
              <a:gd name="connsiteY61" fmla="*/ 2161455 h 4250872"/>
              <a:gd name="connsiteX62" fmla="*/ 2132715 w 4250872"/>
              <a:gd name="connsiteY62" fmla="*/ 2226648 h 4250872"/>
              <a:gd name="connsiteX63" fmla="*/ 2089423 w 4250872"/>
              <a:gd name="connsiteY63" fmla="*/ 2440168 h 4250872"/>
              <a:gd name="connsiteX64" fmla="*/ 2008575 w 4250872"/>
              <a:gd name="connsiteY64" fmla="*/ 2521016 h 4250872"/>
              <a:gd name="connsiteX65" fmla="*/ 1939815 w 4250872"/>
              <a:gd name="connsiteY65" fmla="*/ 2484833 h 4250872"/>
              <a:gd name="connsiteX66" fmla="*/ 1844168 w 4250872"/>
              <a:gd name="connsiteY66" fmla="*/ 2406704 h 4250872"/>
              <a:gd name="connsiteX67" fmla="*/ 1766040 w 4250872"/>
              <a:gd name="connsiteY67" fmla="*/ 2311058 h 4250872"/>
              <a:gd name="connsiteX68" fmla="*/ 1729857 w 4250872"/>
              <a:gd name="connsiteY68" fmla="*/ 2242300 h 4250872"/>
              <a:gd name="connsiteX69" fmla="*/ 1710234 w 4250872"/>
              <a:gd name="connsiteY69" fmla="*/ 2205009 h 4250872"/>
              <a:gd name="connsiteX70" fmla="*/ 1693404 w 4250872"/>
              <a:gd name="connsiteY70" fmla="*/ 2148223 h 4250872"/>
              <a:gd name="connsiteX71" fmla="*/ 1693403 w 4250872"/>
              <a:gd name="connsiteY71" fmla="*/ 2148224 h 4250872"/>
              <a:gd name="connsiteX72" fmla="*/ 1676749 w 4250872"/>
              <a:gd name="connsiteY72" fmla="*/ 2092027 h 4250872"/>
              <a:gd name="connsiteX73" fmla="*/ 1710233 w 4250872"/>
              <a:gd name="connsiteY73" fmla="*/ 1746141 h 4250872"/>
              <a:gd name="connsiteX74" fmla="*/ 1717788 w 4250872"/>
              <a:gd name="connsiteY74" fmla="*/ 1731782 h 4250872"/>
              <a:gd name="connsiteX75" fmla="*/ 1732144 w 4250872"/>
              <a:gd name="connsiteY75" fmla="*/ 1724228 h 4250872"/>
              <a:gd name="connsiteX76" fmla="*/ 1990827 w 4250872"/>
              <a:gd name="connsiteY76" fmla="*/ 1680281 h 4250872"/>
              <a:gd name="connsiteX77" fmla="*/ 2855175 w 4250872"/>
              <a:gd name="connsiteY77" fmla="*/ 785987 h 4250872"/>
              <a:gd name="connsiteX78" fmla="*/ 3286305 w 4250872"/>
              <a:gd name="connsiteY78" fmla="*/ 964567 h 4250872"/>
              <a:gd name="connsiteX79" fmla="*/ 3286306 w 4250872"/>
              <a:gd name="connsiteY79" fmla="*/ 964566 h 4250872"/>
              <a:gd name="connsiteX80" fmla="*/ 3286306 w 4250872"/>
              <a:gd name="connsiteY80" fmla="*/ 1826826 h 4250872"/>
              <a:gd name="connsiteX81" fmla="*/ 2706427 w 4250872"/>
              <a:gd name="connsiteY81" fmla="*/ 2406705 h 4250872"/>
              <a:gd name="connsiteX82" fmla="*/ 2632339 w 4250872"/>
              <a:gd name="connsiteY82" fmla="*/ 2467223 h 4250872"/>
              <a:gd name="connsiteX83" fmla="*/ 2643060 w 4250872"/>
              <a:gd name="connsiteY83" fmla="*/ 2431050 h 4250872"/>
              <a:gd name="connsiteX84" fmla="*/ 2643060 w 4250872"/>
              <a:gd name="connsiteY84" fmla="*/ 2162892 h 4250872"/>
              <a:gd name="connsiteX85" fmla="*/ 2609722 w 4250872"/>
              <a:gd name="connsiteY85" fmla="*/ 2050399 h 4250872"/>
              <a:gd name="connsiteX86" fmla="*/ 3046620 w 4250872"/>
              <a:gd name="connsiteY86" fmla="*/ 1613500 h 4250872"/>
              <a:gd name="connsiteX87" fmla="*/ 3046620 w 4250872"/>
              <a:gd name="connsiteY87" fmla="*/ 1204254 h 4250872"/>
              <a:gd name="connsiteX88" fmla="*/ 2637374 w 4250872"/>
              <a:gd name="connsiteY88" fmla="*/ 1204254 h 4250872"/>
              <a:gd name="connsiteX89" fmla="*/ 2200475 w 4250872"/>
              <a:gd name="connsiteY89" fmla="*/ 1641152 h 4250872"/>
              <a:gd name="connsiteX90" fmla="*/ 2200474 w 4250872"/>
              <a:gd name="connsiteY90" fmla="*/ 1641151 h 4250872"/>
              <a:gd name="connsiteX91" fmla="*/ 2134228 w 4250872"/>
              <a:gd name="connsiteY91" fmla="*/ 1707398 h 4250872"/>
              <a:gd name="connsiteX92" fmla="*/ 2078029 w 4250872"/>
              <a:gd name="connsiteY92" fmla="*/ 1690744 h 4250872"/>
              <a:gd name="connsiteX93" fmla="*/ 1732143 w 4250872"/>
              <a:gd name="connsiteY93" fmla="*/ 1724227 h 4250872"/>
              <a:gd name="connsiteX94" fmla="*/ 1717787 w 4250872"/>
              <a:gd name="connsiteY94" fmla="*/ 1731781 h 4250872"/>
              <a:gd name="connsiteX95" fmla="*/ 1766039 w 4250872"/>
              <a:gd name="connsiteY95" fmla="*/ 1640092 h 4250872"/>
              <a:gd name="connsiteX96" fmla="*/ 1783649 w 4250872"/>
              <a:gd name="connsiteY96" fmla="*/ 1618534 h 4250872"/>
              <a:gd name="connsiteX97" fmla="*/ 1783651 w 4250872"/>
              <a:gd name="connsiteY97" fmla="*/ 1618533 h 4250872"/>
              <a:gd name="connsiteX98" fmla="*/ 1844168 w 4250872"/>
              <a:gd name="connsiteY98" fmla="*/ 1544446 h 4250872"/>
              <a:gd name="connsiteX99" fmla="*/ 2424045 w 4250872"/>
              <a:gd name="connsiteY99" fmla="*/ 964567 h 4250872"/>
              <a:gd name="connsiteX100" fmla="*/ 2855175 w 4250872"/>
              <a:gd name="connsiteY100" fmla="*/ 785987 h 4250872"/>
              <a:gd name="connsiteX101" fmla="*/ 2125435 w 4250872"/>
              <a:gd name="connsiteY101" fmla="*/ 266463 h 4250872"/>
              <a:gd name="connsiteX102" fmla="*/ 266463 w 4250872"/>
              <a:gd name="connsiteY102" fmla="*/ 2125435 h 4250872"/>
              <a:gd name="connsiteX103" fmla="*/ 2125435 w 4250872"/>
              <a:gd name="connsiteY103" fmla="*/ 3984407 h 4250872"/>
              <a:gd name="connsiteX104" fmla="*/ 3984407 w 4250872"/>
              <a:gd name="connsiteY104" fmla="*/ 2125435 h 4250872"/>
              <a:gd name="connsiteX105" fmla="*/ 2125435 w 4250872"/>
              <a:gd name="connsiteY105" fmla="*/ 266463 h 4250872"/>
              <a:gd name="connsiteX106" fmla="*/ 2125436 w 4250872"/>
              <a:gd name="connsiteY106" fmla="*/ 0 h 4250872"/>
              <a:gd name="connsiteX107" fmla="*/ 4250872 w 4250872"/>
              <a:gd name="connsiteY107" fmla="*/ 2125436 h 4250872"/>
              <a:gd name="connsiteX108" fmla="*/ 2125436 w 4250872"/>
              <a:gd name="connsiteY108" fmla="*/ 4250872 h 4250872"/>
              <a:gd name="connsiteX109" fmla="*/ 0 w 4250872"/>
              <a:gd name="connsiteY109" fmla="*/ 2125436 h 4250872"/>
              <a:gd name="connsiteX110" fmla="*/ 2125436 w 4250872"/>
              <a:gd name="connsiteY110" fmla="*/ 0 h 42508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4250872" h="4250872">
                <a:moveTo>
                  <a:pt x="2123136" y="2070418"/>
                </a:moveTo>
                <a:lnTo>
                  <a:pt x="2154685" y="2096189"/>
                </a:lnTo>
                <a:lnTo>
                  <a:pt x="2170560" y="2115622"/>
                </a:lnTo>
                <a:lnTo>
                  <a:pt x="2139010" y="2089852"/>
                </a:lnTo>
                <a:close/>
                <a:moveTo>
                  <a:pt x="1601747" y="1799924"/>
                </a:moveTo>
                <a:lnTo>
                  <a:pt x="1590811" y="1836827"/>
                </a:lnTo>
                <a:cubicBezTo>
                  <a:pt x="1573677" y="1925326"/>
                  <a:pt x="1573677" y="2016487"/>
                  <a:pt x="1590811" y="2104985"/>
                </a:cubicBezTo>
                <a:lnTo>
                  <a:pt x="1624149" y="2217478"/>
                </a:lnTo>
                <a:lnTo>
                  <a:pt x="1202591" y="2639037"/>
                </a:lnTo>
                <a:cubicBezTo>
                  <a:pt x="1089580" y="2752047"/>
                  <a:pt x="1089580" y="2935273"/>
                  <a:pt x="1202591" y="3048283"/>
                </a:cubicBezTo>
                <a:cubicBezTo>
                  <a:pt x="1315601" y="3161294"/>
                  <a:pt x="1498827" y="3161294"/>
                  <a:pt x="1611837" y="3048283"/>
                </a:cubicBezTo>
                <a:lnTo>
                  <a:pt x="2033396" y="2626725"/>
                </a:lnTo>
                <a:lnTo>
                  <a:pt x="2102651" y="2557470"/>
                </a:lnTo>
                <a:lnTo>
                  <a:pt x="2158846" y="2574124"/>
                </a:lnTo>
                <a:cubicBezTo>
                  <a:pt x="2274142" y="2596446"/>
                  <a:pt x="2394638" y="2585286"/>
                  <a:pt x="2504731" y="2540640"/>
                </a:cubicBezTo>
                <a:lnTo>
                  <a:pt x="2519089" y="2533084"/>
                </a:lnTo>
                <a:lnTo>
                  <a:pt x="2470838" y="2624776"/>
                </a:lnTo>
                <a:lnTo>
                  <a:pt x="2450947" y="2649129"/>
                </a:lnTo>
                <a:lnTo>
                  <a:pt x="2392710" y="2720423"/>
                </a:lnTo>
                <a:lnTo>
                  <a:pt x="1826826" y="3286306"/>
                </a:lnTo>
                <a:cubicBezTo>
                  <a:pt x="1618483" y="3494650"/>
                  <a:pt x="1296872" y="3520693"/>
                  <a:pt x="1060213" y="3364435"/>
                </a:cubicBezTo>
                <a:lnTo>
                  <a:pt x="964566" y="3286306"/>
                </a:lnTo>
                <a:lnTo>
                  <a:pt x="886438" y="3190660"/>
                </a:lnTo>
                <a:cubicBezTo>
                  <a:pt x="730181" y="2954001"/>
                  <a:pt x="756224" y="2632390"/>
                  <a:pt x="964567" y="2424047"/>
                </a:cubicBezTo>
                <a:lnTo>
                  <a:pt x="1530449" y="1858164"/>
                </a:lnTo>
                <a:close/>
                <a:moveTo>
                  <a:pt x="2199462" y="1728672"/>
                </a:moveTo>
                <a:lnTo>
                  <a:pt x="2297062" y="1780034"/>
                </a:lnTo>
                <a:cubicBezTo>
                  <a:pt x="2330871" y="1802356"/>
                  <a:pt x="2362946" y="1828400"/>
                  <a:pt x="2392709" y="1858163"/>
                </a:cubicBezTo>
                <a:lnTo>
                  <a:pt x="2392710" y="1858162"/>
                </a:lnTo>
                <a:cubicBezTo>
                  <a:pt x="2422473" y="1887925"/>
                  <a:pt x="2448517" y="1920000"/>
                  <a:pt x="2470839" y="1953809"/>
                </a:cubicBezTo>
                <a:lnTo>
                  <a:pt x="2507023" y="2022568"/>
                </a:lnTo>
                <a:lnTo>
                  <a:pt x="2526645" y="2059857"/>
                </a:lnTo>
                <a:lnTo>
                  <a:pt x="2543475" y="2116644"/>
                </a:lnTo>
                <a:lnTo>
                  <a:pt x="2560128" y="2172840"/>
                </a:lnTo>
                <a:cubicBezTo>
                  <a:pt x="2582450" y="2288135"/>
                  <a:pt x="2571290" y="2408632"/>
                  <a:pt x="2526644" y="2518725"/>
                </a:cubicBezTo>
                <a:lnTo>
                  <a:pt x="2519089" y="2533083"/>
                </a:lnTo>
                <a:lnTo>
                  <a:pt x="2504731" y="2540638"/>
                </a:lnTo>
                <a:cubicBezTo>
                  <a:pt x="2394638" y="2585284"/>
                  <a:pt x="2274141" y="2596444"/>
                  <a:pt x="2158846" y="2574122"/>
                </a:cubicBezTo>
                <a:lnTo>
                  <a:pt x="2102651" y="2557468"/>
                </a:lnTo>
                <a:lnTo>
                  <a:pt x="2154685" y="2505434"/>
                </a:lnTo>
                <a:cubicBezTo>
                  <a:pt x="2225316" y="2434803"/>
                  <a:pt x="2251803" y="2336743"/>
                  <a:pt x="2234146" y="2245541"/>
                </a:cubicBezTo>
                <a:lnTo>
                  <a:pt x="2232196" y="2238963"/>
                </a:lnTo>
                <a:lnTo>
                  <a:pt x="2218254" y="2191917"/>
                </a:lnTo>
                <a:cubicBezTo>
                  <a:pt x="2211190" y="2174499"/>
                  <a:pt x="2202361" y="2157630"/>
                  <a:pt x="2191767" y="2141583"/>
                </a:cubicBezTo>
                <a:lnTo>
                  <a:pt x="2170560" y="2115620"/>
                </a:lnTo>
                <a:lnTo>
                  <a:pt x="2170561" y="2115621"/>
                </a:lnTo>
                <a:lnTo>
                  <a:pt x="2154686" y="2096188"/>
                </a:lnTo>
                <a:lnTo>
                  <a:pt x="2123136" y="2070417"/>
                </a:lnTo>
                <a:lnTo>
                  <a:pt x="2111763" y="2056493"/>
                </a:lnTo>
                <a:cubicBezTo>
                  <a:pt x="2057265" y="1973954"/>
                  <a:pt x="2066348" y="1861786"/>
                  <a:pt x="2139011" y="1789123"/>
                </a:cubicBezTo>
                <a:close/>
                <a:moveTo>
                  <a:pt x="1990827" y="1680281"/>
                </a:moveTo>
                <a:cubicBezTo>
                  <a:pt x="2020057" y="1681676"/>
                  <a:pt x="2049206" y="1685164"/>
                  <a:pt x="2078030" y="1690745"/>
                </a:cubicBezTo>
                <a:lnTo>
                  <a:pt x="2134228" y="1707399"/>
                </a:lnTo>
                <a:lnTo>
                  <a:pt x="2089421" y="1752206"/>
                </a:lnTo>
                <a:cubicBezTo>
                  <a:pt x="2018790" y="1822838"/>
                  <a:pt x="1992303" y="1920898"/>
                  <a:pt x="2009960" y="2012100"/>
                </a:cubicBezTo>
                <a:lnTo>
                  <a:pt x="2011910" y="2018676"/>
                </a:lnTo>
                <a:lnTo>
                  <a:pt x="2011910" y="2018677"/>
                </a:lnTo>
                <a:lnTo>
                  <a:pt x="2025853" y="2065723"/>
                </a:lnTo>
                <a:cubicBezTo>
                  <a:pt x="2032916" y="2083141"/>
                  <a:pt x="2041745" y="2100010"/>
                  <a:pt x="2052340" y="2116056"/>
                </a:cubicBezTo>
                <a:lnTo>
                  <a:pt x="2089419" y="2161450"/>
                </a:lnTo>
                <a:lnTo>
                  <a:pt x="2089422" y="2161452"/>
                </a:lnTo>
                <a:lnTo>
                  <a:pt x="2089424" y="2161455"/>
                </a:lnTo>
                <a:lnTo>
                  <a:pt x="2132715" y="2226648"/>
                </a:lnTo>
                <a:cubicBezTo>
                  <a:pt x="2161577" y="2297821"/>
                  <a:pt x="2147146" y="2382444"/>
                  <a:pt x="2089423" y="2440168"/>
                </a:cubicBezTo>
                <a:lnTo>
                  <a:pt x="2008575" y="2521016"/>
                </a:lnTo>
                <a:lnTo>
                  <a:pt x="1939815" y="2484833"/>
                </a:lnTo>
                <a:lnTo>
                  <a:pt x="1844168" y="2406704"/>
                </a:lnTo>
                <a:lnTo>
                  <a:pt x="1766040" y="2311058"/>
                </a:lnTo>
                <a:lnTo>
                  <a:pt x="1729857" y="2242300"/>
                </a:lnTo>
                <a:lnTo>
                  <a:pt x="1710234" y="2205009"/>
                </a:lnTo>
                <a:lnTo>
                  <a:pt x="1693404" y="2148223"/>
                </a:lnTo>
                <a:lnTo>
                  <a:pt x="1693403" y="2148224"/>
                </a:lnTo>
                <a:lnTo>
                  <a:pt x="1676749" y="2092027"/>
                </a:lnTo>
                <a:cubicBezTo>
                  <a:pt x="1654427" y="1976732"/>
                  <a:pt x="1665588" y="1856235"/>
                  <a:pt x="1710233" y="1746141"/>
                </a:cubicBezTo>
                <a:lnTo>
                  <a:pt x="1717788" y="1731782"/>
                </a:lnTo>
                <a:lnTo>
                  <a:pt x="1732144" y="1724228"/>
                </a:lnTo>
                <a:cubicBezTo>
                  <a:pt x="1814715" y="1690745"/>
                  <a:pt x="1903137" y="1676096"/>
                  <a:pt x="1990827" y="1680281"/>
                </a:cubicBezTo>
                <a:close/>
                <a:moveTo>
                  <a:pt x="2855175" y="785987"/>
                </a:moveTo>
                <a:cubicBezTo>
                  <a:pt x="3011213" y="785987"/>
                  <a:pt x="3167252" y="845514"/>
                  <a:pt x="3286305" y="964567"/>
                </a:cubicBezTo>
                <a:lnTo>
                  <a:pt x="3286306" y="964566"/>
                </a:lnTo>
                <a:cubicBezTo>
                  <a:pt x="3524413" y="1202673"/>
                  <a:pt x="3524413" y="1588720"/>
                  <a:pt x="3286306" y="1826826"/>
                </a:cubicBezTo>
                <a:lnTo>
                  <a:pt x="2706427" y="2406705"/>
                </a:lnTo>
                <a:lnTo>
                  <a:pt x="2632339" y="2467223"/>
                </a:lnTo>
                <a:lnTo>
                  <a:pt x="2643060" y="2431050"/>
                </a:lnTo>
                <a:cubicBezTo>
                  <a:pt x="2660194" y="2342552"/>
                  <a:pt x="2660194" y="2251391"/>
                  <a:pt x="2643060" y="2162892"/>
                </a:cubicBezTo>
                <a:lnTo>
                  <a:pt x="2609722" y="2050399"/>
                </a:lnTo>
                <a:lnTo>
                  <a:pt x="3046620" y="1613500"/>
                </a:lnTo>
                <a:cubicBezTo>
                  <a:pt x="3159631" y="1500489"/>
                  <a:pt x="3159631" y="1317264"/>
                  <a:pt x="3046620" y="1204254"/>
                </a:cubicBezTo>
                <a:cubicBezTo>
                  <a:pt x="2933609" y="1091243"/>
                  <a:pt x="2750384" y="1091243"/>
                  <a:pt x="2637374" y="1204254"/>
                </a:cubicBezTo>
                <a:lnTo>
                  <a:pt x="2200475" y="1641152"/>
                </a:lnTo>
                <a:lnTo>
                  <a:pt x="2200474" y="1641151"/>
                </a:lnTo>
                <a:lnTo>
                  <a:pt x="2134228" y="1707398"/>
                </a:lnTo>
                <a:lnTo>
                  <a:pt x="2078029" y="1690744"/>
                </a:lnTo>
                <a:cubicBezTo>
                  <a:pt x="1962734" y="1668422"/>
                  <a:pt x="1842238" y="1679582"/>
                  <a:pt x="1732143" y="1724227"/>
                </a:cubicBezTo>
                <a:lnTo>
                  <a:pt x="1717787" y="1731781"/>
                </a:lnTo>
                <a:lnTo>
                  <a:pt x="1766039" y="1640092"/>
                </a:lnTo>
                <a:lnTo>
                  <a:pt x="1783649" y="1618534"/>
                </a:lnTo>
                <a:lnTo>
                  <a:pt x="1783651" y="1618533"/>
                </a:lnTo>
                <a:lnTo>
                  <a:pt x="1844168" y="1544446"/>
                </a:lnTo>
                <a:lnTo>
                  <a:pt x="2424045" y="964567"/>
                </a:lnTo>
                <a:cubicBezTo>
                  <a:pt x="2543099" y="845514"/>
                  <a:pt x="2699137" y="785987"/>
                  <a:pt x="2855175" y="785987"/>
                </a:cubicBezTo>
                <a:close/>
                <a:moveTo>
                  <a:pt x="2125435" y="266463"/>
                </a:moveTo>
                <a:cubicBezTo>
                  <a:pt x="1098753" y="266463"/>
                  <a:pt x="266463" y="1098753"/>
                  <a:pt x="266463" y="2125435"/>
                </a:cubicBezTo>
                <a:cubicBezTo>
                  <a:pt x="266463" y="3152117"/>
                  <a:pt x="1098753" y="3984407"/>
                  <a:pt x="2125435" y="3984407"/>
                </a:cubicBezTo>
                <a:cubicBezTo>
                  <a:pt x="3152117" y="3984407"/>
                  <a:pt x="3984407" y="3152117"/>
                  <a:pt x="3984407" y="2125435"/>
                </a:cubicBezTo>
                <a:cubicBezTo>
                  <a:pt x="3984407" y="1098753"/>
                  <a:pt x="3152117" y="266463"/>
                  <a:pt x="2125435" y="266463"/>
                </a:cubicBezTo>
                <a:close/>
                <a:moveTo>
                  <a:pt x="2125436" y="0"/>
                </a:moveTo>
                <a:cubicBezTo>
                  <a:pt x="3299282" y="0"/>
                  <a:pt x="4250872" y="951590"/>
                  <a:pt x="4250872" y="2125436"/>
                </a:cubicBezTo>
                <a:cubicBezTo>
                  <a:pt x="4250872" y="3299282"/>
                  <a:pt x="3299282" y="4250872"/>
                  <a:pt x="2125436" y="4250872"/>
                </a:cubicBezTo>
                <a:cubicBezTo>
                  <a:pt x="951590" y="4250872"/>
                  <a:pt x="0" y="3299282"/>
                  <a:pt x="0" y="2125436"/>
                </a:cubicBezTo>
                <a:cubicBezTo>
                  <a:pt x="0" y="951590"/>
                  <a:pt x="951590" y="0"/>
                  <a:pt x="2125436" y="0"/>
                </a:cubicBezTo>
                <a:close/>
              </a:path>
            </a:pathLst>
          </a:custGeom>
          <a:solidFill>
            <a:schemeClr val="bg1"/>
          </a:solidFill>
          <a:ln w="2540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  <xdr:twoCellAnchor>
    <xdr:from>
      <xdr:col>10</xdr:col>
      <xdr:colOff>441276</xdr:colOff>
      <xdr:row>65</xdr:row>
      <xdr:rowOff>19756</xdr:rowOff>
    </xdr:from>
    <xdr:to>
      <xdr:col>13</xdr:col>
      <xdr:colOff>65899</xdr:colOff>
      <xdr:row>70</xdr:row>
      <xdr:rowOff>55678</xdr:rowOff>
    </xdr:to>
    <xdr:pic>
      <xdr:nvPicPr>
        <xdr:cNvPr id="395" name="Imagem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708351" y="9668581"/>
          <a:ext cx="1453423" cy="721722"/>
        </a:xfrm>
        <a:prstGeom prst="rect">
          <a:avLst/>
        </a:prstGeom>
      </xdr:spPr>
    </xdr:pic>
    <xdr:clientData/>
  </xdr:twoCellAnchor>
  <xdr:twoCellAnchor>
    <xdr:from>
      <xdr:col>23</xdr:col>
      <xdr:colOff>117374</xdr:colOff>
      <xdr:row>65</xdr:row>
      <xdr:rowOff>15949</xdr:rowOff>
    </xdr:from>
    <xdr:to>
      <xdr:col>25</xdr:col>
      <xdr:colOff>123130</xdr:colOff>
      <xdr:row>76</xdr:row>
      <xdr:rowOff>48363</xdr:rowOff>
    </xdr:to>
    <xdr:grpSp>
      <xdr:nvGrpSpPr>
        <xdr:cNvPr id="29713" name="Agrupar 29712">
          <a:extLst>
            <a:ext uri="{FF2B5EF4-FFF2-40B4-BE49-F238E27FC236}">
              <a16:creationId xmlns:a16="http://schemas.microsoft.com/office/drawing/2014/main" id="{00000000-0008-0000-0100-000011740000}"/>
            </a:ext>
          </a:extLst>
        </xdr:cNvPr>
        <xdr:cNvGrpSpPr/>
      </xdr:nvGrpSpPr>
      <xdr:grpSpPr>
        <a:xfrm>
          <a:off x="11593094" y="9761929"/>
          <a:ext cx="1255436" cy="1609754"/>
          <a:chOff x="11312722" y="9629229"/>
          <a:chExt cx="1231560" cy="1588939"/>
        </a:xfrm>
      </xdr:grpSpPr>
      <xdr:pic>
        <xdr:nvPicPr>
          <xdr:cNvPr id="29712" name="Imagem 29711">
            <a:extLst>
              <a:ext uri="{FF2B5EF4-FFF2-40B4-BE49-F238E27FC236}">
                <a16:creationId xmlns:a16="http://schemas.microsoft.com/office/drawing/2014/main" id="{00000000-0008-0000-0100-0000107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/>
          <a:stretch>
            <a:fillRect/>
          </a:stretch>
        </xdr:blipFill>
        <xdr:spPr>
          <a:xfrm>
            <a:off x="11312722" y="9629229"/>
            <a:ext cx="999538" cy="1588939"/>
          </a:xfrm>
          <a:prstGeom prst="rect">
            <a:avLst/>
          </a:prstGeom>
        </xdr:spPr>
      </xdr:pic>
      <xdr:grpSp>
        <xdr:nvGrpSpPr>
          <xdr:cNvPr id="20" name="Agrupar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GrpSpPr/>
        </xdr:nvGrpSpPr>
        <xdr:grpSpPr>
          <a:xfrm>
            <a:off x="11504862" y="9885413"/>
            <a:ext cx="1039420" cy="242686"/>
            <a:chOff x="10012019" y="9769213"/>
            <a:chExt cx="1458414" cy="341875"/>
          </a:xfrm>
        </xdr:grpSpPr>
        <xdr:sp macro="" textlink="LGC!$I$24">
          <xdr:nvSpPr>
            <xdr:cNvPr id="377" name="Retângulo: Cantos Arredondados 376">
              <a:extLst>
                <a:ext uri="{FF2B5EF4-FFF2-40B4-BE49-F238E27FC236}">
                  <a16:creationId xmlns:a16="http://schemas.microsoft.com/office/drawing/2014/main" id="{00000000-0008-0000-0100-000079010000}"/>
                </a:ext>
              </a:extLst>
            </xdr:cNvPr>
            <xdr:cNvSpPr/>
          </xdr:nvSpPr>
          <xdr:spPr>
            <a:xfrm>
              <a:off x="10012019" y="9769213"/>
              <a:ext cx="500901" cy="30619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ctr"/>
              <a:fld id="{D6C62CD8-A2EB-4439-8FC1-858D3A075C1F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ctr"/>
                <a:t>1,25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LGC!$I$31">
          <xdr:nvSpPr>
            <xdr:cNvPr id="379" name="Retângulo: Cantos Arredondados 378">
              <a:extLst>
                <a:ext uri="{FF2B5EF4-FFF2-40B4-BE49-F238E27FC236}">
                  <a16:creationId xmlns:a16="http://schemas.microsoft.com/office/drawing/2014/main" id="{00000000-0008-0000-0100-00007B010000}"/>
                </a:ext>
              </a:extLst>
            </xdr:cNvPr>
            <xdr:cNvSpPr/>
          </xdr:nvSpPr>
          <xdr:spPr>
            <a:xfrm>
              <a:off x="10971170" y="9808646"/>
              <a:ext cx="499263" cy="302442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fld id="{FE6B91E4-5561-45EE-B1EF-ED985670684F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l"/>
                <a:t>15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</xdr:grpSp>
    <xdr:clientData/>
  </xdr:twoCellAnchor>
  <xdr:twoCellAnchor>
    <xdr:from>
      <xdr:col>18</xdr:col>
      <xdr:colOff>323294</xdr:colOff>
      <xdr:row>65</xdr:row>
      <xdr:rowOff>71359</xdr:rowOff>
    </xdr:from>
    <xdr:to>
      <xdr:col>23</xdr:col>
      <xdr:colOff>103931</xdr:colOff>
      <xdr:row>75</xdr:row>
      <xdr:rowOff>183453</xdr:rowOff>
    </xdr:to>
    <xdr:grpSp>
      <xdr:nvGrpSpPr>
        <xdr:cNvPr id="29714" name="Agrupar 29713">
          <a:extLst>
            <a:ext uri="{FF2B5EF4-FFF2-40B4-BE49-F238E27FC236}">
              <a16:creationId xmlns:a16="http://schemas.microsoft.com/office/drawing/2014/main" id="{00000000-0008-0000-0100-000012740000}"/>
            </a:ext>
          </a:extLst>
        </xdr:cNvPr>
        <xdr:cNvGrpSpPr/>
      </xdr:nvGrpSpPr>
      <xdr:grpSpPr>
        <a:xfrm>
          <a:off x="8674814" y="9817339"/>
          <a:ext cx="2904837" cy="1498934"/>
          <a:chOff x="8320552" y="9690341"/>
          <a:chExt cx="2824872" cy="1478119"/>
        </a:xfrm>
      </xdr:grpSpPr>
      <xdr:pic>
        <xdr:nvPicPr>
          <xdr:cNvPr id="29710" name="Imagem 29709">
            <a:extLst>
              <a:ext uri="{FF2B5EF4-FFF2-40B4-BE49-F238E27FC236}">
                <a16:creationId xmlns:a16="http://schemas.microsoft.com/office/drawing/2014/main" id="{00000000-0008-0000-0100-00000E7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6"/>
          <a:stretch>
            <a:fillRect/>
          </a:stretch>
        </xdr:blipFill>
        <xdr:spPr>
          <a:xfrm>
            <a:off x="8968292" y="9690341"/>
            <a:ext cx="1912096" cy="1478119"/>
          </a:xfrm>
          <a:prstGeom prst="rect">
            <a:avLst/>
          </a:prstGeom>
        </xdr:spPr>
      </xdr:pic>
      <xdr:grpSp>
        <xdr:nvGrpSpPr>
          <xdr:cNvPr id="13" name="Agrupar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GrpSpPr/>
        </xdr:nvGrpSpPr>
        <xdr:grpSpPr>
          <a:xfrm>
            <a:off x="10113764" y="9794039"/>
            <a:ext cx="1031660" cy="940835"/>
            <a:chOff x="10812953" y="11382471"/>
            <a:chExt cx="1341551" cy="1242801"/>
          </a:xfrm>
        </xdr:grpSpPr>
        <xdr:sp macro="" textlink="LGC!$I$48">
          <xdr:nvSpPr>
            <xdr:cNvPr id="380" name="Retângulo: Cantos Arredondados 379">
              <a:extLst>
                <a:ext uri="{FF2B5EF4-FFF2-40B4-BE49-F238E27FC236}">
                  <a16:creationId xmlns:a16="http://schemas.microsoft.com/office/drawing/2014/main" id="{00000000-0008-0000-0100-00007C010000}"/>
                </a:ext>
              </a:extLst>
            </xdr:cNvPr>
            <xdr:cNvSpPr/>
          </xdr:nvSpPr>
          <xdr:spPr>
            <a:xfrm>
              <a:off x="10812953" y="11382471"/>
              <a:ext cx="500899" cy="28688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ctr"/>
              <a:fld id="{1309D803-D368-467D-ABAA-10CCE646D50D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ctr"/>
                <a:t>1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81" name="Retângulo: Cantos Arredondados 380">
              <a:extLst>
                <a:ext uri="{FF2B5EF4-FFF2-40B4-BE49-F238E27FC236}">
                  <a16:creationId xmlns:a16="http://schemas.microsoft.com/office/drawing/2014/main" id="{00000000-0008-0000-0100-00007D010000}"/>
                </a:ext>
              </a:extLst>
            </xdr:cNvPr>
            <xdr:cNvSpPr/>
          </xdr:nvSpPr>
          <xdr:spPr>
            <a:xfrm>
              <a:off x="11654507" y="12339968"/>
              <a:ext cx="499997" cy="285304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r>
                <a: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8</a:t>
              </a:r>
            </a:p>
          </xdr:txBody>
        </xdr:sp>
      </xdr:grpSp>
      <xdr:grpSp>
        <xdr:nvGrpSpPr>
          <xdr:cNvPr id="743" name="Agrupar 742">
            <a:extLst>
              <a:ext uri="{FF2B5EF4-FFF2-40B4-BE49-F238E27FC236}">
                <a16:creationId xmlns:a16="http://schemas.microsoft.com/office/drawing/2014/main" id="{00000000-0008-0000-0100-0000E7020000}"/>
              </a:ext>
            </a:extLst>
          </xdr:cNvPr>
          <xdr:cNvGrpSpPr/>
        </xdr:nvGrpSpPr>
        <xdr:grpSpPr>
          <a:xfrm>
            <a:off x="8320552" y="10147611"/>
            <a:ext cx="1144987" cy="759642"/>
            <a:chOff x="1870870" y="2170027"/>
            <a:chExt cx="4338247" cy="2864886"/>
          </a:xfrm>
        </xdr:grpSpPr>
        <xdr:grpSp>
          <xdr:nvGrpSpPr>
            <xdr:cNvPr id="744" name="Agrupar 743">
              <a:extLst>
                <a:ext uri="{FF2B5EF4-FFF2-40B4-BE49-F238E27FC236}">
                  <a16:creationId xmlns:a16="http://schemas.microsoft.com/office/drawing/2014/main" id="{00000000-0008-0000-0100-0000E8020000}"/>
                </a:ext>
              </a:extLst>
            </xdr:cNvPr>
            <xdr:cNvGrpSpPr/>
          </xdr:nvGrpSpPr>
          <xdr:grpSpPr>
            <a:xfrm>
              <a:off x="4221020" y="2863871"/>
              <a:ext cx="1988097" cy="738602"/>
              <a:chOff x="4221020" y="2863871"/>
              <a:chExt cx="1988097" cy="738602"/>
            </a:xfrm>
          </xdr:grpSpPr>
          <xdr:cxnSp macro="">
            <xdr:nvCxnSpPr>
              <xdr:cNvPr id="749" name="Conector reto 748">
                <a:extLst>
                  <a:ext uri="{FF2B5EF4-FFF2-40B4-BE49-F238E27FC236}">
                    <a16:creationId xmlns:a16="http://schemas.microsoft.com/office/drawing/2014/main" id="{00000000-0008-0000-0100-0000ED020000}"/>
                  </a:ext>
                </a:extLst>
              </xdr:cNvPr>
              <xdr:cNvCxnSpPr>
                <a:cxnSpLocks/>
                <a:stCxn id="750" idx="2"/>
                <a:endCxn id="746" idx="3"/>
              </xdr:cNvCxnSpPr>
            </xdr:nvCxnSpPr>
            <xdr:spPr>
              <a:xfrm flipH="1">
                <a:off x="4221020" y="3042209"/>
                <a:ext cx="1631425" cy="560264"/>
              </a:xfrm>
              <a:prstGeom prst="line">
                <a:avLst/>
              </a:prstGeom>
              <a:ln w="28575" cap="rnd">
                <a:solidFill>
                  <a:srgbClr val="FD3F0B"/>
                </a:solidFill>
                <a:round/>
              </a:ln>
              <a:effectLst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50" name="Elipse 749">
                <a:extLst>
                  <a:ext uri="{FF2B5EF4-FFF2-40B4-BE49-F238E27FC236}">
                    <a16:creationId xmlns:a16="http://schemas.microsoft.com/office/drawing/2014/main" id="{00000000-0008-0000-0100-0000EE020000}"/>
                  </a:ext>
                </a:extLst>
              </xdr:cNvPr>
              <xdr:cNvSpPr>
                <a:spLocks noChangeAspect="1"/>
              </xdr:cNvSpPr>
            </xdr:nvSpPr>
            <xdr:spPr>
              <a:xfrm>
                <a:off x="5852445" y="2863871"/>
                <a:ext cx="356672" cy="356668"/>
              </a:xfrm>
              <a:prstGeom prst="ellipse">
                <a:avLst/>
              </a:prstGeom>
              <a:solidFill>
                <a:srgbClr val="FD3F0B"/>
              </a:solidFill>
              <a:ln w="38100">
                <a:noFill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pt-BR" sz="500"/>
              </a:p>
            </xdr:txBody>
          </xdr:sp>
        </xdr:grpSp>
        <xdr:grpSp>
          <xdr:nvGrpSpPr>
            <xdr:cNvPr id="745" name="Agrupar 744">
              <a:extLst>
                <a:ext uri="{FF2B5EF4-FFF2-40B4-BE49-F238E27FC236}">
                  <a16:creationId xmlns:a16="http://schemas.microsoft.com/office/drawing/2014/main" id="{00000000-0008-0000-0100-0000E9020000}"/>
                </a:ext>
              </a:extLst>
            </xdr:cNvPr>
            <xdr:cNvGrpSpPr/>
          </xdr:nvGrpSpPr>
          <xdr:grpSpPr>
            <a:xfrm>
              <a:off x="1870870" y="2170027"/>
              <a:ext cx="2350148" cy="2864886"/>
              <a:chOff x="801286" y="2161843"/>
              <a:chExt cx="2359085" cy="2864886"/>
            </a:xfrm>
            <a:solidFill>
              <a:srgbClr val="16191C"/>
            </a:solidFill>
          </xdr:grpSpPr>
          <xdr:sp macro="" textlink="">
            <xdr:nvSpPr>
              <xdr:cNvPr id="746" name="Retângulo: Cantos Arredondados 745">
                <a:extLst>
                  <a:ext uri="{FF2B5EF4-FFF2-40B4-BE49-F238E27FC236}">
                    <a16:creationId xmlns:a16="http://schemas.microsoft.com/office/drawing/2014/main" id="{00000000-0008-0000-0100-0000EA020000}"/>
                  </a:ext>
                </a:extLst>
              </xdr:cNvPr>
              <xdr:cNvSpPr/>
            </xdr:nvSpPr>
            <xdr:spPr>
              <a:xfrm>
                <a:off x="801286" y="2161843"/>
                <a:ext cx="2359085" cy="2864886"/>
              </a:xfrm>
              <a:prstGeom prst="roundRect">
                <a:avLst>
                  <a:gd name="adj" fmla="val 11708"/>
                </a:avLst>
              </a:prstGeom>
              <a:gradFill flip="none" rotWithShape="1">
                <a:gsLst>
                  <a:gs pos="100000">
                    <a:srgbClr val="FD3F0B"/>
                  </a:gs>
                  <a:gs pos="0">
                    <a:srgbClr val="FF2929"/>
                  </a:gs>
                </a:gsLst>
                <a:lin ang="18900000" scaled="1"/>
                <a:tileRect/>
              </a:gradFill>
              <a:ln w="19050">
                <a:noFill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0" rIns="0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pt-BR" sz="6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  <a:p>
                <a:pPr algn="ctr"/>
                <a:r>
                  <a: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CH 50 x 6 </a:t>
                </a:r>
              </a:p>
              <a:p>
                <a:pPr algn="ctr"/>
                <a:r>
                  <a: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(2" x 1/4") </a:t>
                </a:r>
              </a:p>
              <a:p>
                <a:pPr algn="ctr"/>
                <a:endParaRPr lang="pt-BR" sz="600" b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  <a:p>
                <a:pPr algn="ctr"/>
                <a:endParaRPr lang="pt-BR" sz="600" b="0" baseline="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  <a:p>
                <a:pPr algn="ctr"/>
                <a:r>
                  <a:rPr lang="el-GR" sz="600" b="0" baseline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Φ</a:t>
                </a:r>
                <a:r>
                  <a: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 1/2" M12'</a:t>
                </a:r>
              </a:p>
            </xdr:txBody>
          </xdr:sp>
          <xdr:sp macro="" textlink="">
            <xdr:nvSpPr>
              <xdr:cNvPr id="747" name="Retângulo: Cantos Arredondados 746">
                <a:extLst>
                  <a:ext uri="{FF2B5EF4-FFF2-40B4-BE49-F238E27FC236}">
                    <a16:creationId xmlns:a16="http://schemas.microsoft.com/office/drawing/2014/main" id="{00000000-0008-0000-0100-0000EB020000}"/>
                  </a:ext>
                </a:extLst>
              </xdr:cNvPr>
              <xdr:cNvSpPr/>
            </xdr:nvSpPr>
            <xdr:spPr>
              <a:xfrm>
                <a:off x="1253433" y="2282285"/>
                <a:ext cx="1454798" cy="562276"/>
              </a:xfrm>
              <a:prstGeom prst="roundRect">
                <a:avLst>
                  <a:gd name="adj" fmla="val 25437"/>
                </a:avLst>
              </a:prstGeom>
              <a:solidFill>
                <a:schemeClr val="bg1"/>
              </a:solidFill>
              <a:ln w="38100">
                <a:noFill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0" rIns="0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pt-BR" sz="700" b="0">
                    <a:solidFill>
                      <a:srgbClr val="FD3F0B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Estribo</a:t>
                </a:r>
              </a:p>
            </xdr:txBody>
          </xdr:sp>
          <xdr:sp macro="" textlink="">
            <xdr:nvSpPr>
              <xdr:cNvPr id="748" name="Retângulo: Cantos Arredondados 747">
                <a:extLst>
                  <a:ext uri="{FF2B5EF4-FFF2-40B4-BE49-F238E27FC236}">
                    <a16:creationId xmlns:a16="http://schemas.microsoft.com/office/drawing/2014/main" id="{00000000-0008-0000-0100-0000EC020000}"/>
                  </a:ext>
                </a:extLst>
              </xdr:cNvPr>
              <xdr:cNvSpPr/>
            </xdr:nvSpPr>
            <xdr:spPr>
              <a:xfrm>
                <a:off x="916264" y="3788437"/>
                <a:ext cx="2129129" cy="562275"/>
              </a:xfrm>
              <a:prstGeom prst="roundRect">
                <a:avLst>
                  <a:gd name="adj" fmla="val 30350"/>
                </a:avLst>
              </a:prstGeom>
              <a:solidFill>
                <a:schemeClr val="bg1"/>
              </a:solidFill>
              <a:ln w="38100">
                <a:noFill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lIns="0" rIns="0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pt-BR" sz="700" b="0">
                    <a:solidFill>
                      <a:srgbClr val="FD3F0B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4 Parafusos</a:t>
                </a:r>
              </a:p>
            </xdr:txBody>
          </xdr:sp>
        </xdr:grpSp>
      </xdr:grpSp>
    </xdr:grpSp>
    <xdr:clientData/>
  </xdr:twoCellAnchor>
  <xdr:twoCellAnchor>
    <xdr:from>
      <xdr:col>16</xdr:col>
      <xdr:colOff>33427</xdr:colOff>
      <xdr:row>66</xdr:row>
      <xdr:rowOff>79394</xdr:rowOff>
    </xdr:from>
    <xdr:to>
      <xdr:col>18</xdr:col>
      <xdr:colOff>266733</xdr:colOff>
      <xdr:row>74</xdr:row>
      <xdr:rowOff>175422</xdr:rowOff>
    </xdr:to>
    <xdr:grpSp>
      <xdr:nvGrpSpPr>
        <xdr:cNvPr id="52" name="Agrupar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GrpSpPr/>
      </xdr:nvGrpSpPr>
      <xdr:grpSpPr>
        <a:xfrm>
          <a:off x="7135267" y="10015874"/>
          <a:ext cx="1482986" cy="1101868"/>
          <a:chOff x="6883068" y="9825792"/>
          <a:chExt cx="1457099" cy="1080000"/>
        </a:xfrm>
      </xdr:grpSpPr>
      <xdr:pic>
        <xdr:nvPicPr>
          <xdr:cNvPr id="51" name="Imagem 5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/>
          <a:stretch>
            <a:fillRect/>
          </a:stretch>
        </xdr:blipFill>
        <xdr:spPr>
          <a:xfrm>
            <a:off x="6883068" y="9825792"/>
            <a:ext cx="1206439" cy="1080000"/>
          </a:xfrm>
          <a:prstGeom prst="rect">
            <a:avLst/>
          </a:prstGeom>
        </xdr:spPr>
      </xdr:pic>
      <xdr:sp macro="" textlink="LGC!C48">
        <xdr:nvSpPr>
          <xdr:cNvPr id="376" name="Retângulo: Cantos Arredondados 375">
            <a:extLst>
              <a:ext uri="{FF2B5EF4-FFF2-40B4-BE49-F238E27FC236}">
                <a16:creationId xmlns:a16="http://schemas.microsoft.com/office/drawing/2014/main" id="{00000000-0008-0000-0100-000078010000}"/>
              </a:ext>
            </a:extLst>
          </xdr:cNvPr>
          <xdr:cNvSpPr/>
        </xdr:nvSpPr>
        <xdr:spPr>
          <a:xfrm>
            <a:off x="7967079" y="9952459"/>
            <a:ext cx="373088" cy="215067"/>
          </a:xfrm>
          <a:prstGeom prst="round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l"/>
            <a:fld id="{731122F9-ED28-476B-8007-F7C025BD5179}" type="TxLink">
              <a:rPr lang="en-US" sz="1000" b="0" i="0" u="none" strike="noStrike">
                <a:solidFill>
                  <a:srgbClr val="FFFFFF"/>
                </a:solidFill>
                <a:latin typeface="Segoe UI Semibold"/>
                <a:cs typeface="Segoe UI Semibold"/>
              </a:rPr>
              <a:pPr algn="l"/>
              <a:t>1,5</a:t>
            </a:fld>
            <a:endParaRPr lang="pt-BR" sz="100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13</xdr:col>
      <xdr:colOff>78286</xdr:colOff>
      <xdr:row>66</xdr:row>
      <xdr:rowOff>122004</xdr:rowOff>
    </xdr:from>
    <xdr:to>
      <xdr:col>15</xdr:col>
      <xdr:colOff>445632</xdr:colOff>
      <xdr:row>74</xdr:row>
      <xdr:rowOff>132808</xdr:rowOff>
    </xdr:to>
    <xdr:grpSp>
      <xdr:nvGrpSpPr>
        <xdr:cNvPr id="62" name="Agrupar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GrpSpPr/>
      </xdr:nvGrpSpPr>
      <xdr:grpSpPr>
        <a:xfrm>
          <a:off x="5305606" y="10058484"/>
          <a:ext cx="1617026" cy="1016644"/>
          <a:chOff x="5147395" y="9850856"/>
          <a:chExt cx="1591040" cy="994776"/>
        </a:xfrm>
      </xdr:grpSpPr>
      <xdr:pic>
        <xdr:nvPicPr>
          <xdr:cNvPr id="61" name="Imagem 60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/>
          <a:stretch>
            <a:fillRect/>
          </a:stretch>
        </xdr:blipFill>
        <xdr:spPr>
          <a:xfrm>
            <a:off x="5484397" y="9850856"/>
            <a:ext cx="1254038" cy="994776"/>
          </a:xfrm>
          <a:prstGeom prst="rect">
            <a:avLst/>
          </a:prstGeom>
        </xdr:spPr>
      </xdr:pic>
      <xdr:grpSp>
        <xdr:nvGrpSpPr>
          <xdr:cNvPr id="22" name="Agrupar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GrpSpPr/>
        </xdr:nvGrpSpPr>
        <xdr:grpSpPr>
          <a:xfrm>
            <a:off x="5147395" y="10038942"/>
            <a:ext cx="828847" cy="510493"/>
            <a:chOff x="4398345" y="9748132"/>
            <a:chExt cx="1124570" cy="693930"/>
          </a:xfrm>
        </xdr:grpSpPr>
        <xdr:sp macro="" textlink="LGC!$C$31">
          <xdr:nvSpPr>
            <xdr:cNvPr id="12" name="Retângulo: Cantos Arredondados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5022017" y="9748132"/>
              <a:ext cx="500898" cy="294558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ctr"/>
              <a:fld id="{F398EF25-A8E2-497C-B810-30A522751CE8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ctr"/>
                <a:t>17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LGC!$C$24">
          <xdr:nvSpPr>
            <xdr:cNvPr id="375" name="Retângulo: Cantos Arredondados 374">
              <a:extLst>
                <a:ext uri="{FF2B5EF4-FFF2-40B4-BE49-F238E27FC236}">
                  <a16:creationId xmlns:a16="http://schemas.microsoft.com/office/drawing/2014/main" id="{00000000-0008-0000-0100-000077010000}"/>
                </a:ext>
              </a:extLst>
            </xdr:cNvPr>
            <xdr:cNvSpPr/>
          </xdr:nvSpPr>
          <xdr:spPr>
            <a:xfrm>
              <a:off x="4398345" y="10149976"/>
              <a:ext cx="489586" cy="292086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r"/>
              <a:fld id="{E0E4D18A-AF39-4EDA-8CBF-EF143C2170D6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r"/>
                <a:t>2,5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</xdr:grpSp>
    <xdr:clientData/>
  </xdr:twoCellAnchor>
  <xdr:twoCellAnchor>
    <xdr:from>
      <xdr:col>1</xdr:col>
      <xdr:colOff>0</xdr:colOff>
      <xdr:row>5</xdr:row>
      <xdr:rowOff>0</xdr:rowOff>
    </xdr:from>
    <xdr:to>
      <xdr:col>9</xdr:col>
      <xdr:colOff>9524</xdr:colOff>
      <xdr:row>75</xdr:row>
      <xdr:rowOff>1142</xdr:rowOff>
    </xdr:to>
    <xdr:grpSp>
      <xdr:nvGrpSpPr>
        <xdr:cNvPr id="448" name="Agrupar 447" hidden="1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GrpSpPr/>
      </xdr:nvGrpSpPr>
      <xdr:grpSpPr>
        <a:xfrm>
          <a:off x="182880" y="952500"/>
          <a:ext cx="2996564" cy="10181462"/>
          <a:chOff x="181228" y="952500"/>
          <a:chExt cx="2921814" cy="10090899"/>
        </a:xfrm>
      </xdr:grpSpPr>
      <xdr:sp macro="" textlink="">
        <xdr:nvSpPr>
          <xdr:cNvPr id="522" name="Forma Livre: Forma 521">
            <a:extLst>
              <a:ext uri="{FF2B5EF4-FFF2-40B4-BE49-F238E27FC236}">
                <a16:creationId xmlns:a16="http://schemas.microsoft.com/office/drawing/2014/main" id="{00000000-0008-0000-0100-00000A020000}"/>
              </a:ext>
            </a:extLst>
          </xdr:cNvPr>
          <xdr:cNvSpPr>
            <a:spLocks noChangeAspect="1"/>
          </xdr:cNvSpPr>
        </xdr:nvSpPr>
        <xdr:spPr>
          <a:xfrm>
            <a:off x="2511903" y="4311538"/>
            <a:ext cx="582662" cy="192038"/>
          </a:xfrm>
          <a:custGeom>
            <a:avLst/>
            <a:gdLst>
              <a:gd name="connsiteX0" fmla="*/ 57808 w 601200"/>
              <a:gd name="connsiteY0" fmla="*/ 13741 h 208800"/>
              <a:gd name="connsiteX1" fmla="*/ 12600 w 601200"/>
              <a:gd name="connsiteY1" fmla="*/ 58949 h 208800"/>
              <a:gd name="connsiteX2" fmla="*/ 12600 w 601200"/>
              <a:gd name="connsiteY2" fmla="*/ 149852 h 208800"/>
              <a:gd name="connsiteX3" fmla="*/ 57808 w 601200"/>
              <a:gd name="connsiteY3" fmla="*/ 195060 h 208800"/>
              <a:gd name="connsiteX4" fmla="*/ 543392 w 601200"/>
              <a:gd name="connsiteY4" fmla="*/ 195060 h 208800"/>
              <a:gd name="connsiteX5" fmla="*/ 588600 w 601200"/>
              <a:gd name="connsiteY5" fmla="*/ 149852 h 208800"/>
              <a:gd name="connsiteX6" fmla="*/ 588600 w 601200"/>
              <a:gd name="connsiteY6" fmla="*/ 58949 h 208800"/>
              <a:gd name="connsiteX7" fmla="*/ 543392 w 601200"/>
              <a:gd name="connsiteY7" fmla="*/ 13741 h 208800"/>
              <a:gd name="connsiteX8" fmla="*/ 0 w 601200"/>
              <a:gd name="connsiteY8" fmla="*/ 0 h 208800"/>
              <a:gd name="connsiteX9" fmla="*/ 601200 w 601200"/>
              <a:gd name="connsiteY9" fmla="*/ 0 h 208800"/>
              <a:gd name="connsiteX10" fmla="*/ 601200 w 601200"/>
              <a:gd name="connsiteY10" fmla="*/ 208800 h 208800"/>
              <a:gd name="connsiteX11" fmla="*/ 0 w 601200"/>
              <a:gd name="connsiteY11" fmla="*/ 208800 h 2088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601200" h="208800">
                <a:moveTo>
                  <a:pt x="57808" y="13741"/>
                </a:moveTo>
                <a:cubicBezTo>
                  <a:pt x="32840" y="13741"/>
                  <a:pt x="12600" y="33981"/>
                  <a:pt x="12600" y="58949"/>
                </a:cubicBezTo>
                <a:lnTo>
                  <a:pt x="12600" y="149852"/>
                </a:lnTo>
                <a:cubicBezTo>
                  <a:pt x="12600" y="174820"/>
                  <a:pt x="32840" y="195060"/>
                  <a:pt x="57808" y="195060"/>
                </a:cubicBezTo>
                <a:lnTo>
                  <a:pt x="543392" y="195060"/>
                </a:lnTo>
                <a:cubicBezTo>
                  <a:pt x="568360" y="195060"/>
                  <a:pt x="588600" y="174820"/>
                  <a:pt x="588600" y="149852"/>
                </a:cubicBezTo>
                <a:lnTo>
                  <a:pt x="588600" y="58949"/>
                </a:lnTo>
                <a:cubicBezTo>
                  <a:pt x="588600" y="33981"/>
                  <a:pt x="568360" y="13741"/>
                  <a:pt x="543392" y="13741"/>
                </a:cubicBezTo>
                <a:close/>
                <a:moveTo>
                  <a:pt x="0" y="0"/>
                </a:moveTo>
                <a:lnTo>
                  <a:pt x="601200" y="0"/>
                </a:lnTo>
                <a:lnTo>
                  <a:pt x="601200" y="208800"/>
                </a:lnTo>
                <a:lnTo>
                  <a:pt x="0" y="208800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3" name="Forma Livre: Forma 522">
            <a:extLst>
              <a:ext uri="{FF2B5EF4-FFF2-40B4-BE49-F238E27FC236}">
                <a16:creationId xmlns:a16="http://schemas.microsoft.com/office/drawing/2014/main" id="{00000000-0008-0000-0100-00000B020000}"/>
              </a:ext>
            </a:extLst>
          </xdr:cNvPr>
          <xdr:cNvSpPr/>
        </xdr:nvSpPr>
        <xdr:spPr>
          <a:xfrm>
            <a:off x="1112655" y="952500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4" name="Forma Livre: Forma 523">
            <a:extLst>
              <a:ext uri="{FF2B5EF4-FFF2-40B4-BE49-F238E27FC236}">
                <a16:creationId xmlns:a16="http://schemas.microsoft.com/office/drawing/2014/main" id="{00000000-0008-0000-0100-00000C020000}"/>
              </a:ext>
            </a:extLst>
          </xdr:cNvPr>
          <xdr:cNvSpPr/>
        </xdr:nvSpPr>
        <xdr:spPr>
          <a:xfrm>
            <a:off x="2511903" y="952500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5" name="Forma Livre: Forma 524">
            <a:extLst>
              <a:ext uri="{FF2B5EF4-FFF2-40B4-BE49-F238E27FC236}">
                <a16:creationId xmlns:a16="http://schemas.microsoft.com/office/drawing/2014/main" id="{00000000-0008-0000-0100-00000D020000}"/>
              </a:ext>
            </a:extLst>
          </xdr:cNvPr>
          <xdr:cNvSpPr/>
        </xdr:nvSpPr>
        <xdr:spPr>
          <a:xfrm>
            <a:off x="2511903" y="1201162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6" name="Forma Livre: Forma 525">
            <a:extLst>
              <a:ext uri="{FF2B5EF4-FFF2-40B4-BE49-F238E27FC236}">
                <a16:creationId xmlns:a16="http://schemas.microsoft.com/office/drawing/2014/main" id="{00000000-0008-0000-0100-00000E020000}"/>
              </a:ext>
            </a:extLst>
          </xdr:cNvPr>
          <xdr:cNvSpPr/>
        </xdr:nvSpPr>
        <xdr:spPr>
          <a:xfrm>
            <a:off x="1112655" y="1201162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7" name="Forma Livre: Forma 526">
            <a:extLst>
              <a:ext uri="{FF2B5EF4-FFF2-40B4-BE49-F238E27FC236}">
                <a16:creationId xmlns:a16="http://schemas.microsoft.com/office/drawing/2014/main" id="{00000000-0008-0000-0100-00000F020000}"/>
              </a:ext>
            </a:extLst>
          </xdr:cNvPr>
          <xdr:cNvSpPr/>
        </xdr:nvSpPr>
        <xdr:spPr>
          <a:xfrm>
            <a:off x="2511903" y="2195808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8" name="Forma Livre: Forma 527">
            <a:extLst>
              <a:ext uri="{FF2B5EF4-FFF2-40B4-BE49-F238E27FC236}">
                <a16:creationId xmlns:a16="http://schemas.microsoft.com/office/drawing/2014/main" id="{00000000-0008-0000-0100-000010020000}"/>
              </a:ext>
            </a:extLst>
          </xdr:cNvPr>
          <xdr:cNvSpPr/>
        </xdr:nvSpPr>
        <xdr:spPr>
          <a:xfrm>
            <a:off x="2511903" y="1947146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29" name="Forma Livre: Forma 528">
            <a:extLst>
              <a:ext uri="{FF2B5EF4-FFF2-40B4-BE49-F238E27FC236}">
                <a16:creationId xmlns:a16="http://schemas.microsoft.com/office/drawing/2014/main" id="{00000000-0008-0000-0100-000011020000}"/>
              </a:ext>
            </a:extLst>
          </xdr:cNvPr>
          <xdr:cNvSpPr/>
        </xdr:nvSpPr>
        <xdr:spPr>
          <a:xfrm>
            <a:off x="1112655" y="3814215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0" name="Forma Livre: Forma 529">
            <a:extLst>
              <a:ext uri="{FF2B5EF4-FFF2-40B4-BE49-F238E27FC236}">
                <a16:creationId xmlns:a16="http://schemas.microsoft.com/office/drawing/2014/main" id="{00000000-0008-0000-0100-000012020000}"/>
              </a:ext>
            </a:extLst>
          </xdr:cNvPr>
          <xdr:cNvSpPr/>
        </xdr:nvSpPr>
        <xdr:spPr>
          <a:xfrm>
            <a:off x="1812279" y="3814215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1" name="Forma Livre: Forma 530">
            <a:extLst>
              <a:ext uri="{FF2B5EF4-FFF2-40B4-BE49-F238E27FC236}">
                <a16:creationId xmlns:a16="http://schemas.microsoft.com/office/drawing/2014/main" id="{00000000-0008-0000-0100-000013020000}"/>
              </a:ext>
            </a:extLst>
          </xdr:cNvPr>
          <xdr:cNvSpPr/>
        </xdr:nvSpPr>
        <xdr:spPr>
          <a:xfrm>
            <a:off x="2511903" y="3814215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2" name="Forma Livre: Forma 531">
            <a:extLst>
              <a:ext uri="{FF2B5EF4-FFF2-40B4-BE49-F238E27FC236}">
                <a16:creationId xmlns:a16="http://schemas.microsoft.com/office/drawing/2014/main" id="{00000000-0008-0000-0100-000014020000}"/>
              </a:ext>
            </a:extLst>
          </xdr:cNvPr>
          <xdr:cNvSpPr/>
        </xdr:nvSpPr>
        <xdr:spPr>
          <a:xfrm>
            <a:off x="2511903" y="4062876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3" name="Forma Livre: Forma 532">
            <a:extLst>
              <a:ext uri="{FF2B5EF4-FFF2-40B4-BE49-F238E27FC236}">
                <a16:creationId xmlns:a16="http://schemas.microsoft.com/office/drawing/2014/main" id="{00000000-0008-0000-0100-000015020000}"/>
              </a:ext>
            </a:extLst>
          </xdr:cNvPr>
          <xdr:cNvSpPr/>
        </xdr:nvSpPr>
        <xdr:spPr>
          <a:xfrm>
            <a:off x="1812279" y="4062876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4" name="Forma Livre: Forma 533">
            <a:extLst>
              <a:ext uri="{FF2B5EF4-FFF2-40B4-BE49-F238E27FC236}">
                <a16:creationId xmlns:a16="http://schemas.microsoft.com/office/drawing/2014/main" id="{00000000-0008-0000-0100-000016020000}"/>
              </a:ext>
            </a:extLst>
          </xdr:cNvPr>
          <xdr:cNvSpPr/>
        </xdr:nvSpPr>
        <xdr:spPr>
          <a:xfrm>
            <a:off x="1112655" y="4062876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5" name="Forma Livre: Forma 534">
            <a:extLst>
              <a:ext uri="{FF2B5EF4-FFF2-40B4-BE49-F238E27FC236}">
                <a16:creationId xmlns:a16="http://schemas.microsoft.com/office/drawing/2014/main" id="{00000000-0008-0000-0100-000017020000}"/>
              </a:ext>
            </a:extLst>
          </xdr:cNvPr>
          <xdr:cNvSpPr/>
        </xdr:nvSpPr>
        <xdr:spPr>
          <a:xfrm>
            <a:off x="1112655" y="4311538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6" name="Forma Livre: Forma 535">
            <a:extLst>
              <a:ext uri="{FF2B5EF4-FFF2-40B4-BE49-F238E27FC236}">
                <a16:creationId xmlns:a16="http://schemas.microsoft.com/office/drawing/2014/main" id="{00000000-0008-0000-0100-000018020000}"/>
              </a:ext>
            </a:extLst>
          </xdr:cNvPr>
          <xdr:cNvSpPr/>
        </xdr:nvSpPr>
        <xdr:spPr>
          <a:xfrm>
            <a:off x="1812279" y="4311538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7" name="Forma Livre: Forma 536">
            <a:extLst>
              <a:ext uri="{FF2B5EF4-FFF2-40B4-BE49-F238E27FC236}">
                <a16:creationId xmlns:a16="http://schemas.microsoft.com/office/drawing/2014/main" id="{00000000-0008-0000-0100-000019020000}"/>
              </a:ext>
            </a:extLst>
          </xdr:cNvPr>
          <xdr:cNvSpPr/>
        </xdr:nvSpPr>
        <xdr:spPr>
          <a:xfrm>
            <a:off x="1112655" y="4808861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8" name="Forma Livre: Forma 537">
            <a:extLst>
              <a:ext uri="{FF2B5EF4-FFF2-40B4-BE49-F238E27FC236}">
                <a16:creationId xmlns:a16="http://schemas.microsoft.com/office/drawing/2014/main" id="{00000000-0008-0000-0100-00001A020000}"/>
              </a:ext>
            </a:extLst>
          </xdr:cNvPr>
          <xdr:cNvSpPr/>
        </xdr:nvSpPr>
        <xdr:spPr>
          <a:xfrm>
            <a:off x="1112655" y="5057522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39" name="Forma Livre: Forma 538">
            <a:extLst>
              <a:ext uri="{FF2B5EF4-FFF2-40B4-BE49-F238E27FC236}">
                <a16:creationId xmlns:a16="http://schemas.microsoft.com/office/drawing/2014/main" id="{00000000-0008-0000-0100-00001B020000}"/>
              </a:ext>
            </a:extLst>
          </xdr:cNvPr>
          <xdr:cNvSpPr/>
        </xdr:nvSpPr>
        <xdr:spPr>
          <a:xfrm>
            <a:off x="1112655" y="5306184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0" name="Forma Livre: Forma 539">
            <a:extLst>
              <a:ext uri="{FF2B5EF4-FFF2-40B4-BE49-F238E27FC236}">
                <a16:creationId xmlns:a16="http://schemas.microsoft.com/office/drawing/2014/main" id="{00000000-0008-0000-0100-00001C020000}"/>
              </a:ext>
            </a:extLst>
          </xdr:cNvPr>
          <xdr:cNvSpPr/>
        </xdr:nvSpPr>
        <xdr:spPr>
          <a:xfrm>
            <a:off x="1812279" y="5306184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1" name="Forma Livre: Forma 540">
            <a:extLst>
              <a:ext uri="{FF2B5EF4-FFF2-40B4-BE49-F238E27FC236}">
                <a16:creationId xmlns:a16="http://schemas.microsoft.com/office/drawing/2014/main" id="{00000000-0008-0000-0100-00001D020000}"/>
              </a:ext>
            </a:extLst>
          </xdr:cNvPr>
          <xdr:cNvSpPr/>
        </xdr:nvSpPr>
        <xdr:spPr>
          <a:xfrm>
            <a:off x="2511903" y="5306184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2" name="Forma Livre: Forma 541">
            <a:extLst>
              <a:ext uri="{FF2B5EF4-FFF2-40B4-BE49-F238E27FC236}">
                <a16:creationId xmlns:a16="http://schemas.microsoft.com/office/drawing/2014/main" id="{00000000-0008-0000-0100-00001E020000}"/>
              </a:ext>
            </a:extLst>
          </xdr:cNvPr>
          <xdr:cNvSpPr/>
        </xdr:nvSpPr>
        <xdr:spPr>
          <a:xfrm>
            <a:off x="2511903" y="6300830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3" name="Forma Livre: Forma 542">
            <a:extLst>
              <a:ext uri="{FF2B5EF4-FFF2-40B4-BE49-F238E27FC236}">
                <a16:creationId xmlns:a16="http://schemas.microsoft.com/office/drawing/2014/main" id="{00000000-0008-0000-0100-00001F020000}"/>
              </a:ext>
            </a:extLst>
          </xdr:cNvPr>
          <xdr:cNvSpPr/>
        </xdr:nvSpPr>
        <xdr:spPr>
          <a:xfrm>
            <a:off x="1112655" y="7738009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4" name="Forma Livre: Forma 543">
            <a:extLst>
              <a:ext uri="{FF2B5EF4-FFF2-40B4-BE49-F238E27FC236}">
                <a16:creationId xmlns:a16="http://schemas.microsoft.com/office/drawing/2014/main" id="{00000000-0008-0000-0100-000020020000}"/>
              </a:ext>
            </a:extLst>
          </xdr:cNvPr>
          <xdr:cNvSpPr/>
        </xdr:nvSpPr>
        <xdr:spPr>
          <a:xfrm>
            <a:off x="1112655" y="7986670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5" name="Forma Livre: Forma 544">
            <a:extLst>
              <a:ext uri="{FF2B5EF4-FFF2-40B4-BE49-F238E27FC236}">
                <a16:creationId xmlns:a16="http://schemas.microsoft.com/office/drawing/2014/main" id="{00000000-0008-0000-0100-000021020000}"/>
              </a:ext>
            </a:extLst>
          </xdr:cNvPr>
          <xdr:cNvSpPr/>
        </xdr:nvSpPr>
        <xdr:spPr>
          <a:xfrm>
            <a:off x="1112655" y="8235332"/>
            <a:ext cx="583996" cy="189956"/>
          </a:xfrm>
          <a:custGeom>
            <a:avLst/>
            <a:gdLst>
              <a:gd name="connsiteX0" fmla="*/ 0 w 601200"/>
              <a:gd name="connsiteY0" fmla="*/ 0 h 190799"/>
              <a:gd name="connsiteX1" fmla="*/ 601200 w 601200"/>
              <a:gd name="connsiteY1" fmla="*/ 0 h 190799"/>
              <a:gd name="connsiteX2" fmla="*/ 601200 w 601200"/>
              <a:gd name="connsiteY2" fmla="*/ 190799 h 190799"/>
              <a:gd name="connsiteX3" fmla="*/ 0 w 601200"/>
              <a:gd name="connsiteY3" fmla="*/ 190799 h 190799"/>
              <a:gd name="connsiteX4" fmla="*/ 0 w 601200"/>
              <a:gd name="connsiteY4" fmla="*/ 0 h 190799"/>
              <a:gd name="connsiteX5" fmla="*/ 33768 w 601200"/>
              <a:gd name="connsiteY5" fmla="*/ 11003 h 190799"/>
              <a:gd name="connsiteX6" fmla="*/ 7200 w 601200"/>
              <a:gd name="connsiteY6" fmla="*/ 37571 h 190799"/>
              <a:gd name="connsiteX7" fmla="*/ 7200 w 601200"/>
              <a:gd name="connsiteY7" fmla="*/ 153229 h 190799"/>
              <a:gd name="connsiteX8" fmla="*/ 33768 w 601200"/>
              <a:gd name="connsiteY8" fmla="*/ 179797 h 190799"/>
              <a:gd name="connsiteX9" fmla="*/ 567432 w 601200"/>
              <a:gd name="connsiteY9" fmla="*/ 179797 h 190799"/>
              <a:gd name="connsiteX10" fmla="*/ 594000 w 601200"/>
              <a:gd name="connsiteY10" fmla="*/ 153229 h 190799"/>
              <a:gd name="connsiteX11" fmla="*/ 594000 w 601200"/>
              <a:gd name="connsiteY11" fmla="*/ 37571 h 190799"/>
              <a:gd name="connsiteX12" fmla="*/ 567432 w 601200"/>
              <a:gd name="connsiteY12" fmla="*/ 11003 h 190799"/>
              <a:gd name="connsiteX13" fmla="*/ 33768 w 601200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01200" h="190799">
                <a:moveTo>
                  <a:pt x="0" y="0"/>
                </a:moveTo>
                <a:lnTo>
                  <a:pt x="601200" y="0"/>
                </a:lnTo>
                <a:lnTo>
                  <a:pt x="601200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33768" y="11003"/>
                </a:moveTo>
                <a:cubicBezTo>
                  <a:pt x="19095" y="11003"/>
                  <a:pt x="7200" y="22898"/>
                  <a:pt x="7200" y="37571"/>
                </a:cubicBezTo>
                <a:lnTo>
                  <a:pt x="7200" y="153229"/>
                </a:lnTo>
                <a:cubicBezTo>
                  <a:pt x="7200" y="167902"/>
                  <a:pt x="19095" y="179797"/>
                  <a:pt x="33768" y="179797"/>
                </a:cubicBezTo>
                <a:lnTo>
                  <a:pt x="567432" y="179797"/>
                </a:lnTo>
                <a:cubicBezTo>
                  <a:pt x="582105" y="179797"/>
                  <a:pt x="594000" y="167902"/>
                  <a:pt x="594000" y="153229"/>
                </a:cubicBezTo>
                <a:lnTo>
                  <a:pt x="594000" y="37571"/>
                </a:lnTo>
                <a:cubicBezTo>
                  <a:pt x="594000" y="22898"/>
                  <a:pt x="582105" y="11003"/>
                  <a:pt x="567432" y="11003"/>
                </a:cubicBezTo>
                <a:lnTo>
                  <a:pt x="33768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6" name="Forma Livre: Forma 545">
            <a:extLst>
              <a:ext uri="{FF2B5EF4-FFF2-40B4-BE49-F238E27FC236}">
                <a16:creationId xmlns:a16="http://schemas.microsoft.com/office/drawing/2014/main" id="{00000000-0008-0000-0100-000022020000}"/>
              </a:ext>
            </a:extLst>
          </xdr:cNvPr>
          <xdr:cNvSpPr/>
        </xdr:nvSpPr>
        <xdr:spPr>
          <a:xfrm>
            <a:off x="181228" y="2655199"/>
            <a:ext cx="2921814" cy="650145"/>
          </a:xfrm>
          <a:custGeom>
            <a:avLst/>
            <a:gdLst>
              <a:gd name="connsiteX0" fmla="*/ 0 w 2914649"/>
              <a:gd name="connsiteY0" fmla="*/ 0 h 657225"/>
              <a:gd name="connsiteX1" fmla="*/ 2914649 w 2914649"/>
              <a:gd name="connsiteY1" fmla="*/ 0 h 657225"/>
              <a:gd name="connsiteX2" fmla="*/ 2914649 w 2914649"/>
              <a:gd name="connsiteY2" fmla="*/ 657225 h 657225"/>
              <a:gd name="connsiteX3" fmla="*/ 0 w 2914649"/>
              <a:gd name="connsiteY3" fmla="*/ 657225 h 657225"/>
              <a:gd name="connsiteX4" fmla="*/ 0 w 2914649"/>
              <a:gd name="connsiteY4" fmla="*/ 0 h 657225"/>
              <a:gd name="connsiteX5" fmla="*/ 38144 w 2914649"/>
              <a:gd name="connsiteY5" fmla="*/ 19769 h 657225"/>
              <a:gd name="connsiteX6" fmla="*/ 17322 w 2914649"/>
              <a:gd name="connsiteY6" fmla="*/ 40591 h 657225"/>
              <a:gd name="connsiteX7" fmla="*/ 17322 w 2914649"/>
              <a:gd name="connsiteY7" fmla="*/ 616632 h 657225"/>
              <a:gd name="connsiteX8" fmla="*/ 38144 w 2914649"/>
              <a:gd name="connsiteY8" fmla="*/ 637454 h 657225"/>
              <a:gd name="connsiteX9" fmla="*/ 2876500 w 2914649"/>
              <a:gd name="connsiteY9" fmla="*/ 637454 h 657225"/>
              <a:gd name="connsiteX10" fmla="*/ 2897322 w 2914649"/>
              <a:gd name="connsiteY10" fmla="*/ 616632 h 657225"/>
              <a:gd name="connsiteX11" fmla="*/ 2897322 w 2914649"/>
              <a:gd name="connsiteY11" fmla="*/ 40591 h 657225"/>
              <a:gd name="connsiteX12" fmla="*/ 2876500 w 2914649"/>
              <a:gd name="connsiteY12" fmla="*/ 19769 h 657225"/>
              <a:gd name="connsiteX13" fmla="*/ 38144 w 2914649"/>
              <a:gd name="connsiteY13" fmla="*/ 19769 h 6572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9" h="657225">
                <a:moveTo>
                  <a:pt x="0" y="0"/>
                </a:moveTo>
                <a:lnTo>
                  <a:pt x="2914649" y="0"/>
                </a:lnTo>
                <a:lnTo>
                  <a:pt x="2914649" y="657225"/>
                </a:lnTo>
                <a:lnTo>
                  <a:pt x="0" y="657225"/>
                </a:lnTo>
                <a:lnTo>
                  <a:pt x="0" y="0"/>
                </a:lnTo>
                <a:close/>
                <a:moveTo>
                  <a:pt x="38144" y="19769"/>
                </a:moveTo>
                <a:cubicBezTo>
                  <a:pt x="26644" y="19769"/>
                  <a:pt x="17322" y="29091"/>
                  <a:pt x="17322" y="40591"/>
                </a:cubicBezTo>
                <a:lnTo>
                  <a:pt x="17322" y="616632"/>
                </a:lnTo>
                <a:cubicBezTo>
                  <a:pt x="17322" y="628132"/>
                  <a:pt x="26644" y="637454"/>
                  <a:pt x="38144" y="637454"/>
                </a:cubicBezTo>
                <a:lnTo>
                  <a:pt x="2876500" y="637454"/>
                </a:lnTo>
                <a:cubicBezTo>
                  <a:pt x="2888000" y="637454"/>
                  <a:pt x="2897322" y="628132"/>
                  <a:pt x="2897322" y="616632"/>
                </a:cubicBezTo>
                <a:lnTo>
                  <a:pt x="2897322" y="40591"/>
                </a:lnTo>
                <a:cubicBezTo>
                  <a:pt x="2897322" y="29091"/>
                  <a:pt x="2888000" y="19769"/>
                  <a:pt x="2876500" y="19769"/>
                </a:cubicBezTo>
                <a:lnTo>
                  <a:pt x="38144" y="19769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7" name="Forma Livre: Forma 546">
            <a:extLst>
              <a:ext uri="{FF2B5EF4-FFF2-40B4-BE49-F238E27FC236}">
                <a16:creationId xmlns:a16="http://schemas.microsoft.com/office/drawing/2014/main" id="{00000000-0008-0000-0100-000023020000}"/>
              </a:ext>
            </a:extLst>
          </xdr:cNvPr>
          <xdr:cNvSpPr/>
        </xdr:nvSpPr>
        <xdr:spPr>
          <a:xfrm>
            <a:off x="181313" y="6740474"/>
            <a:ext cx="2921003" cy="503892"/>
          </a:xfrm>
          <a:custGeom>
            <a:avLst/>
            <a:gdLst>
              <a:gd name="connsiteX0" fmla="*/ 0 w 2914649"/>
              <a:gd name="connsiteY0" fmla="*/ 0 h 489600"/>
              <a:gd name="connsiteX1" fmla="*/ 2914649 w 2914649"/>
              <a:gd name="connsiteY1" fmla="*/ 0 h 489600"/>
              <a:gd name="connsiteX2" fmla="*/ 2914649 w 2914649"/>
              <a:gd name="connsiteY2" fmla="*/ 489600 h 489600"/>
              <a:gd name="connsiteX3" fmla="*/ 0 w 2914649"/>
              <a:gd name="connsiteY3" fmla="*/ 489600 h 489600"/>
              <a:gd name="connsiteX4" fmla="*/ 0 w 2914649"/>
              <a:gd name="connsiteY4" fmla="*/ 0 h 489600"/>
              <a:gd name="connsiteX5" fmla="*/ 41710 w 2914649"/>
              <a:gd name="connsiteY5" fmla="*/ 14727 h 489600"/>
              <a:gd name="connsiteX6" fmla="*/ 17322 w 2914649"/>
              <a:gd name="connsiteY6" fmla="*/ 39115 h 489600"/>
              <a:gd name="connsiteX7" fmla="*/ 17322 w 2914649"/>
              <a:gd name="connsiteY7" fmla="*/ 450483 h 489600"/>
              <a:gd name="connsiteX8" fmla="*/ 41710 w 2914649"/>
              <a:gd name="connsiteY8" fmla="*/ 474871 h 489600"/>
              <a:gd name="connsiteX9" fmla="*/ 2872934 w 2914649"/>
              <a:gd name="connsiteY9" fmla="*/ 474871 h 489600"/>
              <a:gd name="connsiteX10" fmla="*/ 2897322 w 2914649"/>
              <a:gd name="connsiteY10" fmla="*/ 450483 h 489600"/>
              <a:gd name="connsiteX11" fmla="*/ 2897322 w 2914649"/>
              <a:gd name="connsiteY11" fmla="*/ 39115 h 489600"/>
              <a:gd name="connsiteX12" fmla="*/ 2872934 w 2914649"/>
              <a:gd name="connsiteY12" fmla="*/ 14727 h 489600"/>
              <a:gd name="connsiteX13" fmla="*/ 41710 w 2914649"/>
              <a:gd name="connsiteY13" fmla="*/ 14727 h 489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9" h="489600">
                <a:moveTo>
                  <a:pt x="0" y="0"/>
                </a:moveTo>
                <a:lnTo>
                  <a:pt x="2914649" y="0"/>
                </a:lnTo>
                <a:lnTo>
                  <a:pt x="2914649" y="489600"/>
                </a:lnTo>
                <a:lnTo>
                  <a:pt x="0" y="489600"/>
                </a:lnTo>
                <a:lnTo>
                  <a:pt x="0" y="0"/>
                </a:lnTo>
                <a:close/>
                <a:moveTo>
                  <a:pt x="41710" y="14727"/>
                </a:moveTo>
                <a:cubicBezTo>
                  <a:pt x="28241" y="14727"/>
                  <a:pt x="17322" y="25646"/>
                  <a:pt x="17322" y="39115"/>
                </a:cubicBezTo>
                <a:lnTo>
                  <a:pt x="17322" y="450483"/>
                </a:lnTo>
                <a:cubicBezTo>
                  <a:pt x="17322" y="463952"/>
                  <a:pt x="28241" y="474871"/>
                  <a:pt x="41710" y="474871"/>
                </a:cubicBezTo>
                <a:lnTo>
                  <a:pt x="2872934" y="474871"/>
                </a:lnTo>
                <a:cubicBezTo>
                  <a:pt x="2886403" y="474871"/>
                  <a:pt x="2897322" y="463952"/>
                  <a:pt x="2897322" y="450483"/>
                </a:cubicBezTo>
                <a:lnTo>
                  <a:pt x="2897322" y="39115"/>
                </a:lnTo>
                <a:cubicBezTo>
                  <a:pt x="2897322" y="25646"/>
                  <a:pt x="2886403" y="14727"/>
                  <a:pt x="2872934" y="14727"/>
                </a:cubicBezTo>
                <a:lnTo>
                  <a:pt x="41710" y="14727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8" name="Forma Livre: Forma 547">
            <a:extLst>
              <a:ext uri="{FF2B5EF4-FFF2-40B4-BE49-F238E27FC236}">
                <a16:creationId xmlns:a16="http://schemas.microsoft.com/office/drawing/2014/main" id="{00000000-0008-0000-0100-000024020000}"/>
              </a:ext>
            </a:extLst>
          </xdr:cNvPr>
          <xdr:cNvSpPr/>
        </xdr:nvSpPr>
        <xdr:spPr>
          <a:xfrm>
            <a:off x="1812279" y="1696409"/>
            <a:ext cx="1290667" cy="192875"/>
          </a:xfrm>
          <a:custGeom>
            <a:avLst/>
            <a:gdLst>
              <a:gd name="connsiteX0" fmla="*/ 0 w 1285875"/>
              <a:gd name="connsiteY0" fmla="*/ 0 h 190799"/>
              <a:gd name="connsiteX1" fmla="*/ 1285875 w 1285875"/>
              <a:gd name="connsiteY1" fmla="*/ 0 h 190799"/>
              <a:gd name="connsiteX2" fmla="*/ 1285875 w 1285875"/>
              <a:gd name="connsiteY2" fmla="*/ 190799 h 190799"/>
              <a:gd name="connsiteX3" fmla="*/ 0 w 1285875"/>
              <a:gd name="connsiteY3" fmla="*/ 190799 h 190799"/>
              <a:gd name="connsiteX4" fmla="*/ 0 w 1285875"/>
              <a:gd name="connsiteY4" fmla="*/ 0 h 190799"/>
              <a:gd name="connsiteX5" fmla="*/ 24139 w 1285875"/>
              <a:gd name="connsiteY5" fmla="*/ 11004 h 190799"/>
              <a:gd name="connsiteX6" fmla="*/ 9336 w 1285875"/>
              <a:gd name="connsiteY6" fmla="*/ 25807 h 190799"/>
              <a:gd name="connsiteX7" fmla="*/ 9336 w 1285875"/>
              <a:gd name="connsiteY7" fmla="*/ 166626 h 190799"/>
              <a:gd name="connsiteX8" fmla="*/ 24139 w 1285875"/>
              <a:gd name="connsiteY8" fmla="*/ 181429 h 190799"/>
              <a:gd name="connsiteX9" fmla="*/ 1261734 w 1285875"/>
              <a:gd name="connsiteY9" fmla="*/ 181429 h 190799"/>
              <a:gd name="connsiteX10" fmla="*/ 1276537 w 1285875"/>
              <a:gd name="connsiteY10" fmla="*/ 166626 h 190799"/>
              <a:gd name="connsiteX11" fmla="*/ 1276537 w 1285875"/>
              <a:gd name="connsiteY11" fmla="*/ 25807 h 190799"/>
              <a:gd name="connsiteX12" fmla="*/ 1261734 w 1285875"/>
              <a:gd name="connsiteY12" fmla="*/ 11004 h 190799"/>
              <a:gd name="connsiteX13" fmla="*/ 24139 w 1285875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285875" h="190799">
                <a:moveTo>
                  <a:pt x="0" y="0"/>
                </a:moveTo>
                <a:lnTo>
                  <a:pt x="1285875" y="0"/>
                </a:lnTo>
                <a:lnTo>
                  <a:pt x="1285875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4139" y="11004"/>
                </a:moveTo>
                <a:cubicBezTo>
                  <a:pt x="15964" y="11004"/>
                  <a:pt x="9336" y="17632"/>
                  <a:pt x="9336" y="25807"/>
                </a:cubicBezTo>
                <a:lnTo>
                  <a:pt x="9336" y="166626"/>
                </a:lnTo>
                <a:cubicBezTo>
                  <a:pt x="9336" y="174801"/>
                  <a:pt x="15964" y="181429"/>
                  <a:pt x="24139" y="181429"/>
                </a:cubicBezTo>
                <a:lnTo>
                  <a:pt x="1261734" y="181429"/>
                </a:lnTo>
                <a:cubicBezTo>
                  <a:pt x="1269909" y="181429"/>
                  <a:pt x="1276537" y="174801"/>
                  <a:pt x="1276537" y="166626"/>
                </a:cubicBezTo>
                <a:lnTo>
                  <a:pt x="1276537" y="25807"/>
                </a:lnTo>
                <a:cubicBezTo>
                  <a:pt x="1276537" y="17632"/>
                  <a:pt x="1269909" y="11004"/>
                  <a:pt x="1261734" y="11004"/>
                </a:cubicBezTo>
                <a:lnTo>
                  <a:pt x="24139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49" name="Forma Livre: Forma 548">
            <a:extLst>
              <a:ext uri="{FF2B5EF4-FFF2-40B4-BE49-F238E27FC236}">
                <a16:creationId xmlns:a16="http://schemas.microsoft.com/office/drawing/2014/main" id="{00000000-0008-0000-0100-000025020000}"/>
              </a:ext>
            </a:extLst>
          </xdr:cNvPr>
          <xdr:cNvSpPr/>
        </xdr:nvSpPr>
        <xdr:spPr>
          <a:xfrm>
            <a:off x="1812279" y="5801431"/>
            <a:ext cx="1290667" cy="192875"/>
          </a:xfrm>
          <a:custGeom>
            <a:avLst/>
            <a:gdLst>
              <a:gd name="connsiteX0" fmla="*/ 0 w 1285875"/>
              <a:gd name="connsiteY0" fmla="*/ 0 h 190799"/>
              <a:gd name="connsiteX1" fmla="*/ 1285875 w 1285875"/>
              <a:gd name="connsiteY1" fmla="*/ 0 h 190799"/>
              <a:gd name="connsiteX2" fmla="*/ 1285875 w 1285875"/>
              <a:gd name="connsiteY2" fmla="*/ 190799 h 190799"/>
              <a:gd name="connsiteX3" fmla="*/ 0 w 1285875"/>
              <a:gd name="connsiteY3" fmla="*/ 190799 h 190799"/>
              <a:gd name="connsiteX4" fmla="*/ 0 w 1285875"/>
              <a:gd name="connsiteY4" fmla="*/ 0 h 190799"/>
              <a:gd name="connsiteX5" fmla="*/ 24139 w 1285875"/>
              <a:gd name="connsiteY5" fmla="*/ 11004 h 190799"/>
              <a:gd name="connsiteX6" fmla="*/ 9336 w 1285875"/>
              <a:gd name="connsiteY6" fmla="*/ 25807 h 190799"/>
              <a:gd name="connsiteX7" fmla="*/ 9336 w 1285875"/>
              <a:gd name="connsiteY7" fmla="*/ 166626 h 190799"/>
              <a:gd name="connsiteX8" fmla="*/ 24139 w 1285875"/>
              <a:gd name="connsiteY8" fmla="*/ 181429 h 190799"/>
              <a:gd name="connsiteX9" fmla="*/ 1261734 w 1285875"/>
              <a:gd name="connsiteY9" fmla="*/ 181429 h 190799"/>
              <a:gd name="connsiteX10" fmla="*/ 1276537 w 1285875"/>
              <a:gd name="connsiteY10" fmla="*/ 166626 h 190799"/>
              <a:gd name="connsiteX11" fmla="*/ 1276537 w 1285875"/>
              <a:gd name="connsiteY11" fmla="*/ 25807 h 190799"/>
              <a:gd name="connsiteX12" fmla="*/ 1261734 w 1285875"/>
              <a:gd name="connsiteY12" fmla="*/ 11004 h 190799"/>
              <a:gd name="connsiteX13" fmla="*/ 24139 w 1285875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285875" h="190799">
                <a:moveTo>
                  <a:pt x="0" y="0"/>
                </a:moveTo>
                <a:lnTo>
                  <a:pt x="1285875" y="0"/>
                </a:lnTo>
                <a:lnTo>
                  <a:pt x="1285875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4139" y="11004"/>
                </a:moveTo>
                <a:cubicBezTo>
                  <a:pt x="15964" y="11004"/>
                  <a:pt x="9336" y="17632"/>
                  <a:pt x="9336" y="25807"/>
                </a:cubicBezTo>
                <a:lnTo>
                  <a:pt x="9336" y="166626"/>
                </a:lnTo>
                <a:cubicBezTo>
                  <a:pt x="9336" y="174801"/>
                  <a:pt x="15964" y="181429"/>
                  <a:pt x="24139" y="181429"/>
                </a:cubicBezTo>
                <a:lnTo>
                  <a:pt x="1261734" y="181429"/>
                </a:lnTo>
                <a:cubicBezTo>
                  <a:pt x="1269909" y="181429"/>
                  <a:pt x="1276537" y="174801"/>
                  <a:pt x="1276537" y="166626"/>
                </a:cubicBezTo>
                <a:lnTo>
                  <a:pt x="1276537" y="25807"/>
                </a:lnTo>
                <a:cubicBezTo>
                  <a:pt x="1276537" y="17632"/>
                  <a:pt x="1269909" y="11004"/>
                  <a:pt x="1261734" y="11004"/>
                </a:cubicBezTo>
                <a:lnTo>
                  <a:pt x="24139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1" name="Forma Livre: Forma 550">
            <a:extLst>
              <a:ext uri="{FF2B5EF4-FFF2-40B4-BE49-F238E27FC236}">
                <a16:creationId xmlns:a16="http://schemas.microsoft.com/office/drawing/2014/main" id="{00000000-0008-0000-0100-000027020000}"/>
              </a:ext>
            </a:extLst>
          </xdr:cNvPr>
          <xdr:cNvSpPr/>
        </xdr:nvSpPr>
        <xdr:spPr>
          <a:xfrm>
            <a:off x="2392481" y="7739335"/>
            <a:ext cx="703453" cy="189473"/>
          </a:xfrm>
          <a:custGeom>
            <a:avLst/>
            <a:gdLst>
              <a:gd name="connsiteX0" fmla="*/ 0 w 694684"/>
              <a:gd name="connsiteY0" fmla="*/ 0 h 190799"/>
              <a:gd name="connsiteX1" fmla="*/ 694684 w 694684"/>
              <a:gd name="connsiteY1" fmla="*/ 0 h 190799"/>
              <a:gd name="connsiteX2" fmla="*/ 694684 w 694684"/>
              <a:gd name="connsiteY2" fmla="*/ 190799 h 190799"/>
              <a:gd name="connsiteX3" fmla="*/ 0 w 694684"/>
              <a:gd name="connsiteY3" fmla="*/ 190799 h 190799"/>
              <a:gd name="connsiteX4" fmla="*/ 0 w 694684"/>
              <a:gd name="connsiteY4" fmla="*/ 0 h 190799"/>
              <a:gd name="connsiteX5" fmla="*/ 25363 w 694684"/>
              <a:gd name="connsiteY5" fmla="*/ 11003 h 190799"/>
              <a:gd name="connsiteX6" fmla="*/ 8320 w 694684"/>
              <a:gd name="connsiteY6" fmla="*/ 28046 h 190799"/>
              <a:gd name="connsiteX7" fmla="*/ 8320 w 694684"/>
              <a:gd name="connsiteY7" fmla="*/ 162754 h 190799"/>
              <a:gd name="connsiteX8" fmla="*/ 25363 w 694684"/>
              <a:gd name="connsiteY8" fmla="*/ 179797 h 190799"/>
              <a:gd name="connsiteX9" fmla="*/ 669322 w 694684"/>
              <a:gd name="connsiteY9" fmla="*/ 179797 h 190799"/>
              <a:gd name="connsiteX10" fmla="*/ 686365 w 694684"/>
              <a:gd name="connsiteY10" fmla="*/ 162754 h 190799"/>
              <a:gd name="connsiteX11" fmla="*/ 686365 w 694684"/>
              <a:gd name="connsiteY11" fmla="*/ 28046 h 190799"/>
              <a:gd name="connsiteX12" fmla="*/ 669322 w 694684"/>
              <a:gd name="connsiteY12" fmla="*/ 11003 h 190799"/>
              <a:gd name="connsiteX13" fmla="*/ 25363 w 694684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94684" h="190799">
                <a:moveTo>
                  <a:pt x="0" y="0"/>
                </a:moveTo>
                <a:lnTo>
                  <a:pt x="694684" y="0"/>
                </a:lnTo>
                <a:lnTo>
                  <a:pt x="694684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5363" y="11003"/>
                </a:moveTo>
                <a:cubicBezTo>
                  <a:pt x="15950" y="11003"/>
                  <a:pt x="8320" y="18633"/>
                  <a:pt x="8320" y="28046"/>
                </a:cubicBezTo>
                <a:lnTo>
                  <a:pt x="8320" y="162754"/>
                </a:lnTo>
                <a:cubicBezTo>
                  <a:pt x="8320" y="172167"/>
                  <a:pt x="15950" y="179797"/>
                  <a:pt x="25363" y="179797"/>
                </a:cubicBezTo>
                <a:lnTo>
                  <a:pt x="669322" y="179797"/>
                </a:lnTo>
                <a:cubicBezTo>
                  <a:pt x="678735" y="179797"/>
                  <a:pt x="686365" y="172167"/>
                  <a:pt x="686365" y="162754"/>
                </a:cubicBezTo>
                <a:lnTo>
                  <a:pt x="686365" y="28046"/>
                </a:lnTo>
                <a:cubicBezTo>
                  <a:pt x="686365" y="18633"/>
                  <a:pt x="678735" y="11003"/>
                  <a:pt x="669322" y="11003"/>
                </a:cubicBezTo>
                <a:lnTo>
                  <a:pt x="25363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2" name="Forma Livre: Forma 551">
            <a:extLst>
              <a:ext uri="{FF2B5EF4-FFF2-40B4-BE49-F238E27FC236}">
                <a16:creationId xmlns:a16="http://schemas.microsoft.com/office/drawing/2014/main" id="{00000000-0008-0000-0100-000028020000}"/>
              </a:ext>
            </a:extLst>
          </xdr:cNvPr>
          <xdr:cNvSpPr/>
        </xdr:nvSpPr>
        <xdr:spPr>
          <a:xfrm>
            <a:off x="2393894" y="7985686"/>
            <a:ext cx="702041" cy="191783"/>
          </a:xfrm>
          <a:custGeom>
            <a:avLst/>
            <a:gdLst>
              <a:gd name="connsiteX0" fmla="*/ 0 w 694684"/>
              <a:gd name="connsiteY0" fmla="*/ 0 h 190799"/>
              <a:gd name="connsiteX1" fmla="*/ 694684 w 694684"/>
              <a:gd name="connsiteY1" fmla="*/ 0 h 190799"/>
              <a:gd name="connsiteX2" fmla="*/ 694684 w 694684"/>
              <a:gd name="connsiteY2" fmla="*/ 190799 h 190799"/>
              <a:gd name="connsiteX3" fmla="*/ 0 w 694684"/>
              <a:gd name="connsiteY3" fmla="*/ 190799 h 190799"/>
              <a:gd name="connsiteX4" fmla="*/ 0 w 694684"/>
              <a:gd name="connsiteY4" fmla="*/ 0 h 190799"/>
              <a:gd name="connsiteX5" fmla="*/ 25363 w 694684"/>
              <a:gd name="connsiteY5" fmla="*/ 11003 h 190799"/>
              <a:gd name="connsiteX6" fmla="*/ 8320 w 694684"/>
              <a:gd name="connsiteY6" fmla="*/ 28046 h 190799"/>
              <a:gd name="connsiteX7" fmla="*/ 8320 w 694684"/>
              <a:gd name="connsiteY7" fmla="*/ 162754 h 190799"/>
              <a:gd name="connsiteX8" fmla="*/ 25363 w 694684"/>
              <a:gd name="connsiteY8" fmla="*/ 179797 h 190799"/>
              <a:gd name="connsiteX9" fmla="*/ 669322 w 694684"/>
              <a:gd name="connsiteY9" fmla="*/ 179797 h 190799"/>
              <a:gd name="connsiteX10" fmla="*/ 686365 w 694684"/>
              <a:gd name="connsiteY10" fmla="*/ 162754 h 190799"/>
              <a:gd name="connsiteX11" fmla="*/ 686365 w 694684"/>
              <a:gd name="connsiteY11" fmla="*/ 28046 h 190799"/>
              <a:gd name="connsiteX12" fmla="*/ 669322 w 694684"/>
              <a:gd name="connsiteY12" fmla="*/ 11003 h 190799"/>
              <a:gd name="connsiteX13" fmla="*/ 25363 w 694684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94684" h="190799">
                <a:moveTo>
                  <a:pt x="0" y="0"/>
                </a:moveTo>
                <a:lnTo>
                  <a:pt x="694684" y="0"/>
                </a:lnTo>
                <a:lnTo>
                  <a:pt x="694684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5363" y="11003"/>
                </a:moveTo>
                <a:cubicBezTo>
                  <a:pt x="15950" y="11003"/>
                  <a:pt x="8320" y="18633"/>
                  <a:pt x="8320" y="28046"/>
                </a:cubicBezTo>
                <a:lnTo>
                  <a:pt x="8320" y="162754"/>
                </a:lnTo>
                <a:cubicBezTo>
                  <a:pt x="8320" y="172167"/>
                  <a:pt x="15950" y="179797"/>
                  <a:pt x="25363" y="179797"/>
                </a:cubicBezTo>
                <a:lnTo>
                  <a:pt x="669322" y="179797"/>
                </a:lnTo>
                <a:cubicBezTo>
                  <a:pt x="678735" y="179797"/>
                  <a:pt x="686365" y="172167"/>
                  <a:pt x="686365" y="162754"/>
                </a:cubicBezTo>
                <a:lnTo>
                  <a:pt x="686365" y="28046"/>
                </a:lnTo>
                <a:cubicBezTo>
                  <a:pt x="686365" y="18633"/>
                  <a:pt x="678735" y="11003"/>
                  <a:pt x="669322" y="11003"/>
                </a:cubicBezTo>
                <a:lnTo>
                  <a:pt x="25363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3" name="Forma Livre: Forma 552">
            <a:extLst>
              <a:ext uri="{FF2B5EF4-FFF2-40B4-BE49-F238E27FC236}">
                <a16:creationId xmlns:a16="http://schemas.microsoft.com/office/drawing/2014/main" id="{00000000-0008-0000-0100-000029020000}"/>
              </a:ext>
            </a:extLst>
          </xdr:cNvPr>
          <xdr:cNvSpPr/>
        </xdr:nvSpPr>
        <xdr:spPr>
          <a:xfrm>
            <a:off x="2393894" y="8235332"/>
            <a:ext cx="702041" cy="190799"/>
          </a:xfrm>
          <a:custGeom>
            <a:avLst/>
            <a:gdLst>
              <a:gd name="connsiteX0" fmla="*/ 0 w 694684"/>
              <a:gd name="connsiteY0" fmla="*/ 0 h 190799"/>
              <a:gd name="connsiteX1" fmla="*/ 694684 w 694684"/>
              <a:gd name="connsiteY1" fmla="*/ 0 h 190799"/>
              <a:gd name="connsiteX2" fmla="*/ 694684 w 694684"/>
              <a:gd name="connsiteY2" fmla="*/ 190799 h 190799"/>
              <a:gd name="connsiteX3" fmla="*/ 0 w 694684"/>
              <a:gd name="connsiteY3" fmla="*/ 190799 h 190799"/>
              <a:gd name="connsiteX4" fmla="*/ 0 w 694684"/>
              <a:gd name="connsiteY4" fmla="*/ 0 h 190799"/>
              <a:gd name="connsiteX5" fmla="*/ 25363 w 694684"/>
              <a:gd name="connsiteY5" fmla="*/ 11003 h 190799"/>
              <a:gd name="connsiteX6" fmla="*/ 8320 w 694684"/>
              <a:gd name="connsiteY6" fmla="*/ 28046 h 190799"/>
              <a:gd name="connsiteX7" fmla="*/ 8320 w 694684"/>
              <a:gd name="connsiteY7" fmla="*/ 162754 h 190799"/>
              <a:gd name="connsiteX8" fmla="*/ 25363 w 694684"/>
              <a:gd name="connsiteY8" fmla="*/ 179797 h 190799"/>
              <a:gd name="connsiteX9" fmla="*/ 669322 w 694684"/>
              <a:gd name="connsiteY9" fmla="*/ 179797 h 190799"/>
              <a:gd name="connsiteX10" fmla="*/ 686365 w 694684"/>
              <a:gd name="connsiteY10" fmla="*/ 162754 h 190799"/>
              <a:gd name="connsiteX11" fmla="*/ 686365 w 694684"/>
              <a:gd name="connsiteY11" fmla="*/ 28046 h 190799"/>
              <a:gd name="connsiteX12" fmla="*/ 669322 w 694684"/>
              <a:gd name="connsiteY12" fmla="*/ 11003 h 190799"/>
              <a:gd name="connsiteX13" fmla="*/ 25363 w 694684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94684" h="190799">
                <a:moveTo>
                  <a:pt x="0" y="0"/>
                </a:moveTo>
                <a:lnTo>
                  <a:pt x="694684" y="0"/>
                </a:lnTo>
                <a:lnTo>
                  <a:pt x="694684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5363" y="11003"/>
                </a:moveTo>
                <a:cubicBezTo>
                  <a:pt x="15950" y="11003"/>
                  <a:pt x="8320" y="18633"/>
                  <a:pt x="8320" y="28046"/>
                </a:cubicBezTo>
                <a:lnTo>
                  <a:pt x="8320" y="162754"/>
                </a:lnTo>
                <a:cubicBezTo>
                  <a:pt x="8320" y="172167"/>
                  <a:pt x="15950" y="179797"/>
                  <a:pt x="25363" y="179797"/>
                </a:cubicBezTo>
                <a:lnTo>
                  <a:pt x="669322" y="179797"/>
                </a:lnTo>
                <a:cubicBezTo>
                  <a:pt x="678735" y="179797"/>
                  <a:pt x="686365" y="172167"/>
                  <a:pt x="686365" y="162754"/>
                </a:cubicBezTo>
                <a:lnTo>
                  <a:pt x="686365" y="28046"/>
                </a:lnTo>
                <a:cubicBezTo>
                  <a:pt x="686365" y="18633"/>
                  <a:pt x="678735" y="11003"/>
                  <a:pt x="669322" y="11003"/>
                </a:cubicBezTo>
                <a:lnTo>
                  <a:pt x="25363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4" name="Forma Livre: Forma 553">
            <a:extLst>
              <a:ext uri="{FF2B5EF4-FFF2-40B4-BE49-F238E27FC236}">
                <a16:creationId xmlns:a16="http://schemas.microsoft.com/office/drawing/2014/main" id="{00000000-0008-0000-0100-00002A020000}"/>
              </a:ext>
            </a:extLst>
          </xdr:cNvPr>
          <xdr:cNvSpPr/>
        </xdr:nvSpPr>
        <xdr:spPr>
          <a:xfrm>
            <a:off x="2393894" y="8730579"/>
            <a:ext cx="702041" cy="192875"/>
          </a:xfrm>
          <a:custGeom>
            <a:avLst/>
            <a:gdLst>
              <a:gd name="connsiteX0" fmla="*/ 0 w 694684"/>
              <a:gd name="connsiteY0" fmla="*/ 0 h 190799"/>
              <a:gd name="connsiteX1" fmla="*/ 694684 w 694684"/>
              <a:gd name="connsiteY1" fmla="*/ 0 h 190799"/>
              <a:gd name="connsiteX2" fmla="*/ 694684 w 694684"/>
              <a:gd name="connsiteY2" fmla="*/ 190799 h 190799"/>
              <a:gd name="connsiteX3" fmla="*/ 0 w 694684"/>
              <a:gd name="connsiteY3" fmla="*/ 190799 h 190799"/>
              <a:gd name="connsiteX4" fmla="*/ 0 w 694684"/>
              <a:gd name="connsiteY4" fmla="*/ 0 h 190799"/>
              <a:gd name="connsiteX5" fmla="*/ 25363 w 694684"/>
              <a:gd name="connsiteY5" fmla="*/ 11003 h 190799"/>
              <a:gd name="connsiteX6" fmla="*/ 8320 w 694684"/>
              <a:gd name="connsiteY6" fmla="*/ 28046 h 190799"/>
              <a:gd name="connsiteX7" fmla="*/ 8320 w 694684"/>
              <a:gd name="connsiteY7" fmla="*/ 162754 h 190799"/>
              <a:gd name="connsiteX8" fmla="*/ 25363 w 694684"/>
              <a:gd name="connsiteY8" fmla="*/ 179797 h 190799"/>
              <a:gd name="connsiteX9" fmla="*/ 669322 w 694684"/>
              <a:gd name="connsiteY9" fmla="*/ 179797 h 190799"/>
              <a:gd name="connsiteX10" fmla="*/ 686365 w 694684"/>
              <a:gd name="connsiteY10" fmla="*/ 162754 h 190799"/>
              <a:gd name="connsiteX11" fmla="*/ 686365 w 694684"/>
              <a:gd name="connsiteY11" fmla="*/ 28046 h 190799"/>
              <a:gd name="connsiteX12" fmla="*/ 669322 w 694684"/>
              <a:gd name="connsiteY12" fmla="*/ 11003 h 190799"/>
              <a:gd name="connsiteX13" fmla="*/ 25363 w 694684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94684" h="190799">
                <a:moveTo>
                  <a:pt x="0" y="0"/>
                </a:moveTo>
                <a:lnTo>
                  <a:pt x="694684" y="0"/>
                </a:lnTo>
                <a:lnTo>
                  <a:pt x="694684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5363" y="11003"/>
                </a:moveTo>
                <a:cubicBezTo>
                  <a:pt x="15950" y="11003"/>
                  <a:pt x="8320" y="18633"/>
                  <a:pt x="8320" y="28046"/>
                </a:cubicBezTo>
                <a:lnTo>
                  <a:pt x="8320" y="162754"/>
                </a:lnTo>
                <a:cubicBezTo>
                  <a:pt x="8320" y="172167"/>
                  <a:pt x="15950" y="179797"/>
                  <a:pt x="25363" y="179797"/>
                </a:cubicBezTo>
                <a:lnTo>
                  <a:pt x="669322" y="179797"/>
                </a:lnTo>
                <a:cubicBezTo>
                  <a:pt x="678735" y="179797"/>
                  <a:pt x="686365" y="172167"/>
                  <a:pt x="686365" y="162754"/>
                </a:cubicBezTo>
                <a:lnTo>
                  <a:pt x="686365" y="28046"/>
                </a:lnTo>
                <a:cubicBezTo>
                  <a:pt x="686365" y="18633"/>
                  <a:pt x="678735" y="11003"/>
                  <a:pt x="669322" y="11003"/>
                </a:cubicBezTo>
                <a:lnTo>
                  <a:pt x="25363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5" name="Forma Livre: Forma 554">
            <a:extLst>
              <a:ext uri="{FF2B5EF4-FFF2-40B4-BE49-F238E27FC236}">
                <a16:creationId xmlns:a16="http://schemas.microsoft.com/office/drawing/2014/main" id="{00000000-0008-0000-0100-00002B020000}"/>
              </a:ext>
            </a:extLst>
          </xdr:cNvPr>
          <xdr:cNvSpPr/>
        </xdr:nvSpPr>
        <xdr:spPr>
          <a:xfrm>
            <a:off x="2393894" y="8981316"/>
            <a:ext cx="702041" cy="190799"/>
          </a:xfrm>
          <a:custGeom>
            <a:avLst/>
            <a:gdLst>
              <a:gd name="connsiteX0" fmla="*/ 0 w 694684"/>
              <a:gd name="connsiteY0" fmla="*/ 0 h 190799"/>
              <a:gd name="connsiteX1" fmla="*/ 694684 w 694684"/>
              <a:gd name="connsiteY1" fmla="*/ 0 h 190799"/>
              <a:gd name="connsiteX2" fmla="*/ 694684 w 694684"/>
              <a:gd name="connsiteY2" fmla="*/ 190799 h 190799"/>
              <a:gd name="connsiteX3" fmla="*/ 0 w 694684"/>
              <a:gd name="connsiteY3" fmla="*/ 190799 h 190799"/>
              <a:gd name="connsiteX4" fmla="*/ 0 w 694684"/>
              <a:gd name="connsiteY4" fmla="*/ 0 h 190799"/>
              <a:gd name="connsiteX5" fmla="*/ 25363 w 694684"/>
              <a:gd name="connsiteY5" fmla="*/ 11003 h 190799"/>
              <a:gd name="connsiteX6" fmla="*/ 8320 w 694684"/>
              <a:gd name="connsiteY6" fmla="*/ 28046 h 190799"/>
              <a:gd name="connsiteX7" fmla="*/ 8320 w 694684"/>
              <a:gd name="connsiteY7" fmla="*/ 162754 h 190799"/>
              <a:gd name="connsiteX8" fmla="*/ 25363 w 694684"/>
              <a:gd name="connsiteY8" fmla="*/ 179797 h 190799"/>
              <a:gd name="connsiteX9" fmla="*/ 669322 w 694684"/>
              <a:gd name="connsiteY9" fmla="*/ 179797 h 190799"/>
              <a:gd name="connsiteX10" fmla="*/ 686365 w 694684"/>
              <a:gd name="connsiteY10" fmla="*/ 162754 h 190799"/>
              <a:gd name="connsiteX11" fmla="*/ 686365 w 694684"/>
              <a:gd name="connsiteY11" fmla="*/ 28046 h 190799"/>
              <a:gd name="connsiteX12" fmla="*/ 669322 w 694684"/>
              <a:gd name="connsiteY12" fmla="*/ 11003 h 190799"/>
              <a:gd name="connsiteX13" fmla="*/ 25363 w 694684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94684" h="190799">
                <a:moveTo>
                  <a:pt x="0" y="0"/>
                </a:moveTo>
                <a:lnTo>
                  <a:pt x="694684" y="0"/>
                </a:lnTo>
                <a:lnTo>
                  <a:pt x="694684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5363" y="11003"/>
                </a:moveTo>
                <a:cubicBezTo>
                  <a:pt x="15950" y="11003"/>
                  <a:pt x="8320" y="18633"/>
                  <a:pt x="8320" y="28046"/>
                </a:cubicBezTo>
                <a:lnTo>
                  <a:pt x="8320" y="162754"/>
                </a:lnTo>
                <a:cubicBezTo>
                  <a:pt x="8320" y="172167"/>
                  <a:pt x="15950" y="179797"/>
                  <a:pt x="25363" y="179797"/>
                </a:cubicBezTo>
                <a:lnTo>
                  <a:pt x="669322" y="179797"/>
                </a:lnTo>
                <a:cubicBezTo>
                  <a:pt x="678735" y="179797"/>
                  <a:pt x="686365" y="172167"/>
                  <a:pt x="686365" y="162754"/>
                </a:cubicBezTo>
                <a:lnTo>
                  <a:pt x="686365" y="28046"/>
                </a:lnTo>
                <a:cubicBezTo>
                  <a:pt x="686365" y="18633"/>
                  <a:pt x="678735" y="11003"/>
                  <a:pt x="669322" y="11003"/>
                </a:cubicBezTo>
                <a:lnTo>
                  <a:pt x="25363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6" name="Forma Livre: Forma 555">
            <a:extLst>
              <a:ext uri="{FF2B5EF4-FFF2-40B4-BE49-F238E27FC236}">
                <a16:creationId xmlns:a16="http://schemas.microsoft.com/office/drawing/2014/main" id="{00000000-0008-0000-0100-00002C020000}"/>
              </a:ext>
            </a:extLst>
          </xdr:cNvPr>
          <xdr:cNvSpPr/>
        </xdr:nvSpPr>
        <xdr:spPr>
          <a:xfrm>
            <a:off x="2393894" y="9420961"/>
            <a:ext cx="702041" cy="189473"/>
          </a:xfrm>
          <a:custGeom>
            <a:avLst/>
            <a:gdLst>
              <a:gd name="connsiteX0" fmla="*/ 0 w 694684"/>
              <a:gd name="connsiteY0" fmla="*/ 0 h 190799"/>
              <a:gd name="connsiteX1" fmla="*/ 694684 w 694684"/>
              <a:gd name="connsiteY1" fmla="*/ 0 h 190799"/>
              <a:gd name="connsiteX2" fmla="*/ 694684 w 694684"/>
              <a:gd name="connsiteY2" fmla="*/ 190799 h 190799"/>
              <a:gd name="connsiteX3" fmla="*/ 0 w 694684"/>
              <a:gd name="connsiteY3" fmla="*/ 190799 h 190799"/>
              <a:gd name="connsiteX4" fmla="*/ 0 w 694684"/>
              <a:gd name="connsiteY4" fmla="*/ 0 h 190799"/>
              <a:gd name="connsiteX5" fmla="*/ 25363 w 694684"/>
              <a:gd name="connsiteY5" fmla="*/ 11003 h 190799"/>
              <a:gd name="connsiteX6" fmla="*/ 8320 w 694684"/>
              <a:gd name="connsiteY6" fmla="*/ 28046 h 190799"/>
              <a:gd name="connsiteX7" fmla="*/ 8320 w 694684"/>
              <a:gd name="connsiteY7" fmla="*/ 162754 h 190799"/>
              <a:gd name="connsiteX8" fmla="*/ 25363 w 694684"/>
              <a:gd name="connsiteY8" fmla="*/ 179797 h 190799"/>
              <a:gd name="connsiteX9" fmla="*/ 669322 w 694684"/>
              <a:gd name="connsiteY9" fmla="*/ 179797 h 190799"/>
              <a:gd name="connsiteX10" fmla="*/ 686365 w 694684"/>
              <a:gd name="connsiteY10" fmla="*/ 162754 h 190799"/>
              <a:gd name="connsiteX11" fmla="*/ 686365 w 694684"/>
              <a:gd name="connsiteY11" fmla="*/ 28046 h 190799"/>
              <a:gd name="connsiteX12" fmla="*/ 669322 w 694684"/>
              <a:gd name="connsiteY12" fmla="*/ 11003 h 190799"/>
              <a:gd name="connsiteX13" fmla="*/ 25363 w 694684"/>
              <a:gd name="connsiteY13" fmla="*/ 11003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94684" h="190799">
                <a:moveTo>
                  <a:pt x="0" y="0"/>
                </a:moveTo>
                <a:lnTo>
                  <a:pt x="694684" y="0"/>
                </a:lnTo>
                <a:lnTo>
                  <a:pt x="694684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5363" y="11003"/>
                </a:moveTo>
                <a:cubicBezTo>
                  <a:pt x="15950" y="11003"/>
                  <a:pt x="8320" y="18633"/>
                  <a:pt x="8320" y="28046"/>
                </a:cubicBezTo>
                <a:lnTo>
                  <a:pt x="8320" y="162754"/>
                </a:lnTo>
                <a:cubicBezTo>
                  <a:pt x="8320" y="172167"/>
                  <a:pt x="15950" y="179797"/>
                  <a:pt x="25363" y="179797"/>
                </a:cubicBezTo>
                <a:lnTo>
                  <a:pt x="669322" y="179797"/>
                </a:lnTo>
                <a:cubicBezTo>
                  <a:pt x="678735" y="179797"/>
                  <a:pt x="686365" y="172167"/>
                  <a:pt x="686365" y="162754"/>
                </a:cubicBezTo>
                <a:lnTo>
                  <a:pt x="686365" y="28046"/>
                </a:lnTo>
                <a:cubicBezTo>
                  <a:pt x="686365" y="18633"/>
                  <a:pt x="678735" y="11003"/>
                  <a:pt x="669322" y="11003"/>
                </a:cubicBezTo>
                <a:lnTo>
                  <a:pt x="25363" y="11003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7" name="Forma Livre: Forma 556">
            <a:extLst>
              <a:ext uri="{FF2B5EF4-FFF2-40B4-BE49-F238E27FC236}">
                <a16:creationId xmlns:a16="http://schemas.microsoft.com/office/drawing/2014/main" id="{00000000-0008-0000-0100-00002D020000}"/>
              </a:ext>
            </a:extLst>
          </xdr:cNvPr>
          <xdr:cNvSpPr/>
        </xdr:nvSpPr>
        <xdr:spPr>
          <a:xfrm>
            <a:off x="181313" y="9857954"/>
            <a:ext cx="2921002" cy="190799"/>
          </a:xfrm>
          <a:custGeom>
            <a:avLst/>
            <a:gdLst>
              <a:gd name="connsiteX0" fmla="*/ 0 w 2914648"/>
              <a:gd name="connsiteY0" fmla="*/ 0 h 190799"/>
              <a:gd name="connsiteX1" fmla="*/ 2914648 w 2914648"/>
              <a:gd name="connsiteY1" fmla="*/ 0 h 190799"/>
              <a:gd name="connsiteX2" fmla="*/ 2914648 w 2914648"/>
              <a:gd name="connsiteY2" fmla="*/ 190799 h 190799"/>
              <a:gd name="connsiteX3" fmla="*/ 0 w 2914648"/>
              <a:gd name="connsiteY3" fmla="*/ 190799 h 190799"/>
              <a:gd name="connsiteX4" fmla="*/ 0 w 2914648"/>
              <a:gd name="connsiteY4" fmla="*/ 0 h 190799"/>
              <a:gd name="connsiteX5" fmla="*/ 42453 w 2914648"/>
              <a:gd name="connsiteY5" fmla="*/ 11004 h 190799"/>
              <a:gd name="connsiteX6" fmla="*/ 15523 w 2914648"/>
              <a:gd name="connsiteY6" fmla="*/ 37934 h 190799"/>
              <a:gd name="connsiteX7" fmla="*/ 15523 w 2914648"/>
              <a:gd name="connsiteY7" fmla="*/ 155167 h 190799"/>
              <a:gd name="connsiteX8" fmla="*/ 42453 w 2914648"/>
              <a:gd name="connsiteY8" fmla="*/ 182097 h 190799"/>
              <a:gd name="connsiteX9" fmla="*/ 2872194 w 2914648"/>
              <a:gd name="connsiteY9" fmla="*/ 182097 h 190799"/>
              <a:gd name="connsiteX10" fmla="*/ 2899124 w 2914648"/>
              <a:gd name="connsiteY10" fmla="*/ 155167 h 190799"/>
              <a:gd name="connsiteX11" fmla="*/ 2899124 w 2914648"/>
              <a:gd name="connsiteY11" fmla="*/ 37934 h 190799"/>
              <a:gd name="connsiteX12" fmla="*/ 2872194 w 2914648"/>
              <a:gd name="connsiteY12" fmla="*/ 11004 h 190799"/>
              <a:gd name="connsiteX13" fmla="*/ 42453 w 2914648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8" h="190799">
                <a:moveTo>
                  <a:pt x="0" y="0"/>
                </a:moveTo>
                <a:lnTo>
                  <a:pt x="2914648" y="0"/>
                </a:lnTo>
                <a:lnTo>
                  <a:pt x="2914648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42453" y="11004"/>
                </a:moveTo>
                <a:cubicBezTo>
                  <a:pt x="27580" y="11004"/>
                  <a:pt x="15523" y="23061"/>
                  <a:pt x="15523" y="37934"/>
                </a:cubicBezTo>
                <a:lnTo>
                  <a:pt x="15523" y="155167"/>
                </a:lnTo>
                <a:cubicBezTo>
                  <a:pt x="15523" y="170040"/>
                  <a:pt x="27580" y="182097"/>
                  <a:pt x="42453" y="182097"/>
                </a:cubicBezTo>
                <a:lnTo>
                  <a:pt x="2872194" y="182097"/>
                </a:lnTo>
                <a:cubicBezTo>
                  <a:pt x="2887067" y="182097"/>
                  <a:pt x="2899124" y="170040"/>
                  <a:pt x="2899124" y="155167"/>
                </a:cubicBezTo>
                <a:lnTo>
                  <a:pt x="2899124" y="37934"/>
                </a:lnTo>
                <a:cubicBezTo>
                  <a:pt x="2899124" y="23061"/>
                  <a:pt x="2887067" y="11004"/>
                  <a:pt x="2872194" y="11004"/>
                </a:cubicBezTo>
                <a:lnTo>
                  <a:pt x="42453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8" name="Forma Livre: Forma 557">
            <a:extLst>
              <a:ext uri="{FF2B5EF4-FFF2-40B4-BE49-F238E27FC236}">
                <a16:creationId xmlns:a16="http://schemas.microsoft.com/office/drawing/2014/main" id="{00000000-0008-0000-0100-00002E020000}"/>
              </a:ext>
            </a:extLst>
          </xdr:cNvPr>
          <xdr:cNvSpPr/>
        </xdr:nvSpPr>
        <xdr:spPr>
          <a:xfrm>
            <a:off x="181313" y="10105631"/>
            <a:ext cx="2921002" cy="191783"/>
          </a:xfrm>
          <a:custGeom>
            <a:avLst/>
            <a:gdLst>
              <a:gd name="connsiteX0" fmla="*/ 0 w 2914648"/>
              <a:gd name="connsiteY0" fmla="*/ 0 h 190799"/>
              <a:gd name="connsiteX1" fmla="*/ 2914648 w 2914648"/>
              <a:gd name="connsiteY1" fmla="*/ 0 h 190799"/>
              <a:gd name="connsiteX2" fmla="*/ 2914648 w 2914648"/>
              <a:gd name="connsiteY2" fmla="*/ 190799 h 190799"/>
              <a:gd name="connsiteX3" fmla="*/ 0 w 2914648"/>
              <a:gd name="connsiteY3" fmla="*/ 190799 h 190799"/>
              <a:gd name="connsiteX4" fmla="*/ 0 w 2914648"/>
              <a:gd name="connsiteY4" fmla="*/ 0 h 190799"/>
              <a:gd name="connsiteX5" fmla="*/ 42453 w 2914648"/>
              <a:gd name="connsiteY5" fmla="*/ 11004 h 190799"/>
              <a:gd name="connsiteX6" fmla="*/ 15523 w 2914648"/>
              <a:gd name="connsiteY6" fmla="*/ 37934 h 190799"/>
              <a:gd name="connsiteX7" fmla="*/ 15523 w 2914648"/>
              <a:gd name="connsiteY7" fmla="*/ 155167 h 190799"/>
              <a:gd name="connsiteX8" fmla="*/ 42453 w 2914648"/>
              <a:gd name="connsiteY8" fmla="*/ 182097 h 190799"/>
              <a:gd name="connsiteX9" fmla="*/ 2872194 w 2914648"/>
              <a:gd name="connsiteY9" fmla="*/ 182097 h 190799"/>
              <a:gd name="connsiteX10" fmla="*/ 2899124 w 2914648"/>
              <a:gd name="connsiteY10" fmla="*/ 155167 h 190799"/>
              <a:gd name="connsiteX11" fmla="*/ 2899124 w 2914648"/>
              <a:gd name="connsiteY11" fmla="*/ 37934 h 190799"/>
              <a:gd name="connsiteX12" fmla="*/ 2872194 w 2914648"/>
              <a:gd name="connsiteY12" fmla="*/ 11004 h 190799"/>
              <a:gd name="connsiteX13" fmla="*/ 42453 w 2914648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8" h="190799">
                <a:moveTo>
                  <a:pt x="0" y="0"/>
                </a:moveTo>
                <a:lnTo>
                  <a:pt x="2914648" y="0"/>
                </a:lnTo>
                <a:lnTo>
                  <a:pt x="2914648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42453" y="11004"/>
                </a:moveTo>
                <a:cubicBezTo>
                  <a:pt x="27580" y="11004"/>
                  <a:pt x="15523" y="23061"/>
                  <a:pt x="15523" y="37934"/>
                </a:cubicBezTo>
                <a:lnTo>
                  <a:pt x="15523" y="155167"/>
                </a:lnTo>
                <a:cubicBezTo>
                  <a:pt x="15523" y="170040"/>
                  <a:pt x="27580" y="182097"/>
                  <a:pt x="42453" y="182097"/>
                </a:cubicBezTo>
                <a:lnTo>
                  <a:pt x="2872194" y="182097"/>
                </a:lnTo>
                <a:cubicBezTo>
                  <a:pt x="2887067" y="182097"/>
                  <a:pt x="2899124" y="170040"/>
                  <a:pt x="2899124" y="155167"/>
                </a:cubicBezTo>
                <a:lnTo>
                  <a:pt x="2899124" y="37934"/>
                </a:lnTo>
                <a:cubicBezTo>
                  <a:pt x="2899124" y="23061"/>
                  <a:pt x="2887067" y="11004"/>
                  <a:pt x="2872194" y="11004"/>
                </a:cubicBezTo>
                <a:lnTo>
                  <a:pt x="42453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59" name="Forma Livre: Forma 558">
            <a:extLst>
              <a:ext uri="{FF2B5EF4-FFF2-40B4-BE49-F238E27FC236}">
                <a16:creationId xmlns:a16="http://schemas.microsoft.com/office/drawing/2014/main" id="{00000000-0008-0000-0100-00002F020000}"/>
              </a:ext>
            </a:extLst>
          </xdr:cNvPr>
          <xdr:cNvSpPr/>
        </xdr:nvSpPr>
        <xdr:spPr>
          <a:xfrm>
            <a:off x="181313" y="10354292"/>
            <a:ext cx="2921002" cy="191784"/>
          </a:xfrm>
          <a:custGeom>
            <a:avLst/>
            <a:gdLst>
              <a:gd name="connsiteX0" fmla="*/ 0 w 2914648"/>
              <a:gd name="connsiteY0" fmla="*/ 0 h 190799"/>
              <a:gd name="connsiteX1" fmla="*/ 2914648 w 2914648"/>
              <a:gd name="connsiteY1" fmla="*/ 0 h 190799"/>
              <a:gd name="connsiteX2" fmla="*/ 2914648 w 2914648"/>
              <a:gd name="connsiteY2" fmla="*/ 190799 h 190799"/>
              <a:gd name="connsiteX3" fmla="*/ 0 w 2914648"/>
              <a:gd name="connsiteY3" fmla="*/ 190799 h 190799"/>
              <a:gd name="connsiteX4" fmla="*/ 0 w 2914648"/>
              <a:gd name="connsiteY4" fmla="*/ 0 h 190799"/>
              <a:gd name="connsiteX5" fmla="*/ 42453 w 2914648"/>
              <a:gd name="connsiteY5" fmla="*/ 11004 h 190799"/>
              <a:gd name="connsiteX6" fmla="*/ 15523 w 2914648"/>
              <a:gd name="connsiteY6" fmla="*/ 37934 h 190799"/>
              <a:gd name="connsiteX7" fmla="*/ 15523 w 2914648"/>
              <a:gd name="connsiteY7" fmla="*/ 155167 h 190799"/>
              <a:gd name="connsiteX8" fmla="*/ 42453 w 2914648"/>
              <a:gd name="connsiteY8" fmla="*/ 182097 h 190799"/>
              <a:gd name="connsiteX9" fmla="*/ 2872194 w 2914648"/>
              <a:gd name="connsiteY9" fmla="*/ 182097 h 190799"/>
              <a:gd name="connsiteX10" fmla="*/ 2899124 w 2914648"/>
              <a:gd name="connsiteY10" fmla="*/ 155167 h 190799"/>
              <a:gd name="connsiteX11" fmla="*/ 2899124 w 2914648"/>
              <a:gd name="connsiteY11" fmla="*/ 37934 h 190799"/>
              <a:gd name="connsiteX12" fmla="*/ 2872194 w 2914648"/>
              <a:gd name="connsiteY12" fmla="*/ 11004 h 190799"/>
              <a:gd name="connsiteX13" fmla="*/ 42453 w 2914648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8" h="190799">
                <a:moveTo>
                  <a:pt x="0" y="0"/>
                </a:moveTo>
                <a:lnTo>
                  <a:pt x="2914648" y="0"/>
                </a:lnTo>
                <a:lnTo>
                  <a:pt x="2914648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42453" y="11004"/>
                </a:moveTo>
                <a:cubicBezTo>
                  <a:pt x="27580" y="11004"/>
                  <a:pt x="15523" y="23061"/>
                  <a:pt x="15523" y="37934"/>
                </a:cubicBezTo>
                <a:lnTo>
                  <a:pt x="15523" y="155167"/>
                </a:lnTo>
                <a:cubicBezTo>
                  <a:pt x="15523" y="170040"/>
                  <a:pt x="27580" y="182097"/>
                  <a:pt x="42453" y="182097"/>
                </a:cubicBezTo>
                <a:lnTo>
                  <a:pt x="2872194" y="182097"/>
                </a:lnTo>
                <a:cubicBezTo>
                  <a:pt x="2887067" y="182097"/>
                  <a:pt x="2899124" y="170040"/>
                  <a:pt x="2899124" y="155167"/>
                </a:cubicBezTo>
                <a:lnTo>
                  <a:pt x="2899124" y="37934"/>
                </a:lnTo>
                <a:cubicBezTo>
                  <a:pt x="2899124" y="23061"/>
                  <a:pt x="2887067" y="11004"/>
                  <a:pt x="2872194" y="11004"/>
                </a:cubicBezTo>
                <a:lnTo>
                  <a:pt x="42453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60" name="Forma Livre: Forma 559">
            <a:extLst>
              <a:ext uri="{FF2B5EF4-FFF2-40B4-BE49-F238E27FC236}">
                <a16:creationId xmlns:a16="http://schemas.microsoft.com/office/drawing/2014/main" id="{00000000-0008-0000-0100-000030020000}"/>
              </a:ext>
            </a:extLst>
          </xdr:cNvPr>
          <xdr:cNvSpPr/>
        </xdr:nvSpPr>
        <xdr:spPr>
          <a:xfrm>
            <a:off x="181313" y="10603938"/>
            <a:ext cx="2921002" cy="190799"/>
          </a:xfrm>
          <a:custGeom>
            <a:avLst/>
            <a:gdLst>
              <a:gd name="connsiteX0" fmla="*/ 0 w 2914648"/>
              <a:gd name="connsiteY0" fmla="*/ 0 h 190799"/>
              <a:gd name="connsiteX1" fmla="*/ 2914648 w 2914648"/>
              <a:gd name="connsiteY1" fmla="*/ 0 h 190799"/>
              <a:gd name="connsiteX2" fmla="*/ 2914648 w 2914648"/>
              <a:gd name="connsiteY2" fmla="*/ 190799 h 190799"/>
              <a:gd name="connsiteX3" fmla="*/ 0 w 2914648"/>
              <a:gd name="connsiteY3" fmla="*/ 190799 h 190799"/>
              <a:gd name="connsiteX4" fmla="*/ 0 w 2914648"/>
              <a:gd name="connsiteY4" fmla="*/ 0 h 190799"/>
              <a:gd name="connsiteX5" fmla="*/ 42453 w 2914648"/>
              <a:gd name="connsiteY5" fmla="*/ 11004 h 190799"/>
              <a:gd name="connsiteX6" fmla="*/ 15523 w 2914648"/>
              <a:gd name="connsiteY6" fmla="*/ 37934 h 190799"/>
              <a:gd name="connsiteX7" fmla="*/ 15523 w 2914648"/>
              <a:gd name="connsiteY7" fmla="*/ 155167 h 190799"/>
              <a:gd name="connsiteX8" fmla="*/ 42453 w 2914648"/>
              <a:gd name="connsiteY8" fmla="*/ 182097 h 190799"/>
              <a:gd name="connsiteX9" fmla="*/ 2872194 w 2914648"/>
              <a:gd name="connsiteY9" fmla="*/ 182097 h 190799"/>
              <a:gd name="connsiteX10" fmla="*/ 2899124 w 2914648"/>
              <a:gd name="connsiteY10" fmla="*/ 155167 h 190799"/>
              <a:gd name="connsiteX11" fmla="*/ 2899124 w 2914648"/>
              <a:gd name="connsiteY11" fmla="*/ 37934 h 190799"/>
              <a:gd name="connsiteX12" fmla="*/ 2872194 w 2914648"/>
              <a:gd name="connsiteY12" fmla="*/ 11004 h 190799"/>
              <a:gd name="connsiteX13" fmla="*/ 42453 w 2914648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8" h="190799">
                <a:moveTo>
                  <a:pt x="0" y="0"/>
                </a:moveTo>
                <a:lnTo>
                  <a:pt x="2914648" y="0"/>
                </a:lnTo>
                <a:lnTo>
                  <a:pt x="2914648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42453" y="11004"/>
                </a:moveTo>
                <a:cubicBezTo>
                  <a:pt x="27580" y="11004"/>
                  <a:pt x="15523" y="23061"/>
                  <a:pt x="15523" y="37934"/>
                </a:cubicBezTo>
                <a:lnTo>
                  <a:pt x="15523" y="155167"/>
                </a:lnTo>
                <a:cubicBezTo>
                  <a:pt x="15523" y="170040"/>
                  <a:pt x="27580" y="182097"/>
                  <a:pt x="42453" y="182097"/>
                </a:cubicBezTo>
                <a:lnTo>
                  <a:pt x="2872194" y="182097"/>
                </a:lnTo>
                <a:cubicBezTo>
                  <a:pt x="2887067" y="182097"/>
                  <a:pt x="2899124" y="170040"/>
                  <a:pt x="2899124" y="155167"/>
                </a:cubicBezTo>
                <a:lnTo>
                  <a:pt x="2899124" y="37934"/>
                </a:lnTo>
                <a:cubicBezTo>
                  <a:pt x="2899124" y="23061"/>
                  <a:pt x="2887067" y="11004"/>
                  <a:pt x="2872194" y="11004"/>
                </a:cubicBezTo>
                <a:lnTo>
                  <a:pt x="42453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61" name="Forma Livre: Forma 560">
            <a:extLst>
              <a:ext uri="{FF2B5EF4-FFF2-40B4-BE49-F238E27FC236}">
                <a16:creationId xmlns:a16="http://schemas.microsoft.com/office/drawing/2014/main" id="{00000000-0008-0000-0100-000031020000}"/>
              </a:ext>
            </a:extLst>
          </xdr:cNvPr>
          <xdr:cNvSpPr/>
        </xdr:nvSpPr>
        <xdr:spPr>
          <a:xfrm>
            <a:off x="181313" y="10852600"/>
            <a:ext cx="2921002" cy="190799"/>
          </a:xfrm>
          <a:custGeom>
            <a:avLst/>
            <a:gdLst>
              <a:gd name="connsiteX0" fmla="*/ 0 w 2914648"/>
              <a:gd name="connsiteY0" fmla="*/ 0 h 190799"/>
              <a:gd name="connsiteX1" fmla="*/ 2914648 w 2914648"/>
              <a:gd name="connsiteY1" fmla="*/ 0 h 190799"/>
              <a:gd name="connsiteX2" fmla="*/ 2914648 w 2914648"/>
              <a:gd name="connsiteY2" fmla="*/ 190799 h 190799"/>
              <a:gd name="connsiteX3" fmla="*/ 0 w 2914648"/>
              <a:gd name="connsiteY3" fmla="*/ 190799 h 190799"/>
              <a:gd name="connsiteX4" fmla="*/ 0 w 2914648"/>
              <a:gd name="connsiteY4" fmla="*/ 0 h 190799"/>
              <a:gd name="connsiteX5" fmla="*/ 42453 w 2914648"/>
              <a:gd name="connsiteY5" fmla="*/ 11004 h 190799"/>
              <a:gd name="connsiteX6" fmla="*/ 15523 w 2914648"/>
              <a:gd name="connsiteY6" fmla="*/ 37934 h 190799"/>
              <a:gd name="connsiteX7" fmla="*/ 15523 w 2914648"/>
              <a:gd name="connsiteY7" fmla="*/ 155167 h 190799"/>
              <a:gd name="connsiteX8" fmla="*/ 42453 w 2914648"/>
              <a:gd name="connsiteY8" fmla="*/ 182097 h 190799"/>
              <a:gd name="connsiteX9" fmla="*/ 2872194 w 2914648"/>
              <a:gd name="connsiteY9" fmla="*/ 182097 h 190799"/>
              <a:gd name="connsiteX10" fmla="*/ 2899124 w 2914648"/>
              <a:gd name="connsiteY10" fmla="*/ 155167 h 190799"/>
              <a:gd name="connsiteX11" fmla="*/ 2899124 w 2914648"/>
              <a:gd name="connsiteY11" fmla="*/ 37934 h 190799"/>
              <a:gd name="connsiteX12" fmla="*/ 2872194 w 2914648"/>
              <a:gd name="connsiteY12" fmla="*/ 11004 h 190799"/>
              <a:gd name="connsiteX13" fmla="*/ 42453 w 2914648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914648" h="190799">
                <a:moveTo>
                  <a:pt x="0" y="0"/>
                </a:moveTo>
                <a:lnTo>
                  <a:pt x="2914648" y="0"/>
                </a:lnTo>
                <a:lnTo>
                  <a:pt x="2914648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42453" y="11004"/>
                </a:moveTo>
                <a:cubicBezTo>
                  <a:pt x="27580" y="11004"/>
                  <a:pt x="15523" y="23061"/>
                  <a:pt x="15523" y="37934"/>
                </a:cubicBezTo>
                <a:lnTo>
                  <a:pt x="15523" y="155167"/>
                </a:lnTo>
                <a:cubicBezTo>
                  <a:pt x="15523" y="170040"/>
                  <a:pt x="27580" y="182097"/>
                  <a:pt x="42453" y="182097"/>
                </a:cubicBezTo>
                <a:lnTo>
                  <a:pt x="2872194" y="182097"/>
                </a:lnTo>
                <a:cubicBezTo>
                  <a:pt x="2887067" y="182097"/>
                  <a:pt x="2899124" y="170040"/>
                  <a:pt x="2899124" y="155167"/>
                </a:cubicBezTo>
                <a:lnTo>
                  <a:pt x="2899124" y="37934"/>
                </a:lnTo>
                <a:cubicBezTo>
                  <a:pt x="2899124" y="23061"/>
                  <a:pt x="2887067" y="11004"/>
                  <a:pt x="2872194" y="11004"/>
                </a:cubicBezTo>
                <a:lnTo>
                  <a:pt x="42453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70" name="Forma Livre: Forma 569">
            <a:extLst>
              <a:ext uri="{FF2B5EF4-FFF2-40B4-BE49-F238E27FC236}">
                <a16:creationId xmlns:a16="http://schemas.microsoft.com/office/drawing/2014/main" id="{00000000-0008-0000-0100-00003A020000}"/>
              </a:ext>
            </a:extLst>
          </xdr:cNvPr>
          <xdr:cNvSpPr/>
        </xdr:nvSpPr>
        <xdr:spPr>
          <a:xfrm>
            <a:off x="1812279" y="6052168"/>
            <a:ext cx="1290667" cy="191497"/>
          </a:xfrm>
          <a:custGeom>
            <a:avLst/>
            <a:gdLst>
              <a:gd name="connsiteX0" fmla="*/ 0 w 1285875"/>
              <a:gd name="connsiteY0" fmla="*/ 0 h 190799"/>
              <a:gd name="connsiteX1" fmla="*/ 1285875 w 1285875"/>
              <a:gd name="connsiteY1" fmla="*/ 0 h 190799"/>
              <a:gd name="connsiteX2" fmla="*/ 1285875 w 1285875"/>
              <a:gd name="connsiteY2" fmla="*/ 190799 h 190799"/>
              <a:gd name="connsiteX3" fmla="*/ 0 w 1285875"/>
              <a:gd name="connsiteY3" fmla="*/ 190799 h 190799"/>
              <a:gd name="connsiteX4" fmla="*/ 0 w 1285875"/>
              <a:gd name="connsiteY4" fmla="*/ 0 h 190799"/>
              <a:gd name="connsiteX5" fmla="*/ 24139 w 1285875"/>
              <a:gd name="connsiteY5" fmla="*/ 11004 h 190799"/>
              <a:gd name="connsiteX6" fmla="*/ 9336 w 1285875"/>
              <a:gd name="connsiteY6" fmla="*/ 25807 h 190799"/>
              <a:gd name="connsiteX7" fmla="*/ 9336 w 1285875"/>
              <a:gd name="connsiteY7" fmla="*/ 166626 h 190799"/>
              <a:gd name="connsiteX8" fmla="*/ 24139 w 1285875"/>
              <a:gd name="connsiteY8" fmla="*/ 181429 h 190799"/>
              <a:gd name="connsiteX9" fmla="*/ 1261734 w 1285875"/>
              <a:gd name="connsiteY9" fmla="*/ 181429 h 190799"/>
              <a:gd name="connsiteX10" fmla="*/ 1276537 w 1285875"/>
              <a:gd name="connsiteY10" fmla="*/ 166626 h 190799"/>
              <a:gd name="connsiteX11" fmla="*/ 1276537 w 1285875"/>
              <a:gd name="connsiteY11" fmla="*/ 25807 h 190799"/>
              <a:gd name="connsiteX12" fmla="*/ 1261734 w 1285875"/>
              <a:gd name="connsiteY12" fmla="*/ 11004 h 190799"/>
              <a:gd name="connsiteX13" fmla="*/ 24139 w 1285875"/>
              <a:gd name="connsiteY13" fmla="*/ 11004 h 1907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285875" h="190799">
                <a:moveTo>
                  <a:pt x="0" y="0"/>
                </a:moveTo>
                <a:lnTo>
                  <a:pt x="1285875" y="0"/>
                </a:lnTo>
                <a:lnTo>
                  <a:pt x="1285875" y="190799"/>
                </a:lnTo>
                <a:lnTo>
                  <a:pt x="0" y="190799"/>
                </a:lnTo>
                <a:lnTo>
                  <a:pt x="0" y="0"/>
                </a:lnTo>
                <a:close/>
                <a:moveTo>
                  <a:pt x="24139" y="11004"/>
                </a:moveTo>
                <a:cubicBezTo>
                  <a:pt x="15964" y="11004"/>
                  <a:pt x="9336" y="17632"/>
                  <a:pt x="9336" y="25807"/>
                </a:cubicBezTo>
                <a:lnTo>
                  <a:pt x="9336" y="166626"/>
                </a:lnTo>
                <a:cubicBezTo>
                  <a:pt x="9336" y="174801"/>
                  <a:pt x="15964" y="181429"/>
                  <a:pt x="24139" y="181429"/>
                </a:cubicBezTo>
                <a:lnTo>
                  <a:pt x="1261734" y="181429"/>
                </a:lnTo>
                <a:cubicBezTo>
                  <a:pt x="1269909" y="181429"/>
                  <a:pt x="1276537" y="174801"/>
                  <a:pt x="1276537" y="166626"/>
                </a:cubicBezTo>
                <a:lnTo>
                  <a:pt x="1276537" y="25807"/>
                </a:lnTo>
                <a:cubicBezTo>
                  <a:pt x="1276537" y="17632"/>
                  <a:pt x="1269909" y="11004"/>
                  <a:pt x="1261734" y="11004"/>
                </a:cubicBezTo>
                <a:lnTo>
                  <a:pt x="24139" y="11004"/>
                </a:lnTo>
                <a:close/>
              </a:path>
            </a:pathLst>
          </a:custGeom>
          <a:solidFill>
            <a:srgbClr val="16191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  <xdr:twoCellAnchor>
    <xdr:from>
      <xdr:col>15</xdr:col>
      <xdr:colOff>316607</xdr:colOff>
      <xdr:row>80</xdr:row>
      <xdr:rowOff>12543</xdr:rowOff>
    </xdr:from>
    <xdr:to>
      <xdr:col>20</xdr:col>
      <xdr:colOff>56534</xdr:colOff>
      <xdr:row>81</xdr:row>
      <xdr:rowOff>26550</xdr:rowOff>
    </xdr:to>
    <xdr:sp macro="" textlink="">
      <xdr:nvSpPr>
        <xdr:cNvPr id="424" name="Retângulo: Cantos Arredondados 42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/>
      </xdr:nvSpPr>
      <xdr:spPr>
        <a:xfrm>
          <a:off x="6631682" y="11985468"/>
          <a:ext cx="2787927" cy="204507"/>
        </a:xfrm>
        <a:prstGeom prst="roundRect">
          <a:avLst>
            <a:gd name="adj" fmla="val 50000"/>
          </a:avLst>
        </a:prstGeom>
        <a:solidFill>
          <a:srgbClr val="343B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0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Ilustrações</a:t>
          </a:r>
          <a:r>
            <a:rPr lang="pt-BR" sz="1000" b="1" baseline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com Dimensões Fora de Proporção</a:t>
          </a:r>
          <a:endParaRPr lang="pt-BR" sz="1000" b="1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579782</xdr:colOff>
      <xdr:row>4</xdr:row>
      <xdr:rowOff>157369</xdr:rowOff>
    </xdr:from>
    <xdr:to>
      <xdr:col>5</xdr:col>
      <xdr:colOff>24848</xdr:colOff>
      <xdr:row>11</xdr:row>
      <xdr:rowOff>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694207" y="995569"/>
          <a:ext cx="2845491" cy="1576181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285750</xdr:colOff>
      <xdr:row>4</xdr:row>
      <xdr:rowOff>168966</xdr:rowOff>
    </xdr:from>
    <xdr:to>
      <xdr:col>10</xdr:col>
      <xdr:colOff>34373</xdr:colOff>
      <xdr:row>8</xdr:row>
      <xdr:rowOff>33131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953000" y="1007166"/>
          <a:ext cx="2920448" cy="854765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425726</xdr:colOff>
      <xdr:row>4</xdr:row>
      <xdr:rowOff>160680</xdr:rowOff>
    </xdr:from>
    <xdr:to>
      <xdr:col>14</xdr:col>
      <xdr:colOff>8283</xdr:colOff>
      <xdr:row>12</xdr:row>
      <xdr:rowOff>38100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845701" y="741705"/>
          <a:ext cx="3363982" cy="1820520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0</xdr:colOff>
      <xdr:row>2</xdr:row>
      <xdr:rowOff>123477</xdr:rowOff>
    </xdr:to>
    <xdr:grpSp>
      <xdr:nvGrpSpPr>
        <xdr:cNvPr id="61" name="Agrupar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GrpSpPr/>
      </xdr:nvGrpSpPr>
      <xdr:grpSpPr>
        <a:xfrm>
          <a:off x="0" y="0"/>
          <a:ext cx="13380720" cy="451137"/>
          <a:chOff x="0" y="0"/>
          <a:chExt cx="13058775" cy="456852"/>
        </a:xfrm>
      </xdr:grpSpPr>
      <xdr:sp macro="" textlink="">
        <xdr:nvSpPr>
          <xdr:cNvPr id="62" name="Retângulo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/>
        </xdr:nvSpPr>
        <xdr:spPr>
          <a:xfrm>
            <a:off x="0" y="0"/>
            <a:ext cx="13058775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3" name="Retângulo: Cantos Arredondados 62">
            <a:extLst>
              <a:ext uri="{FF2B5EF4-FFF2-40B4-BE49-F238E27FC236}">
                <a16:creationId xmlns:a16="http://schemas.microsoft.com/office/drawing/2014/main" id="{00000000-0008-0000-0200-00003F000000}"/>
              </a:ext>
            </a:extLst>
          </xdr:cNvPr>
          <xdr:cNvSpPr/>
        </xdr:nvSpPr>
        <xdr:spPr>
          <a:xfrm>
            <a:off x="3333041" y="126568"/>
            <a:ext cx="45919" cy="243680"/>
          </a:xfrm>
          <a:prstGeom prst="roundRect">
            <a:avLst>
              <a:gd name="adj" fmla="val 50000"/>
            </a:avLst>
          </a:prstGeom>
          <a:solidFill>
            <a:schemeClr val="tx1">
              <a:alpha val="2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endParaRPr lang="pt-BR" sz="1100">
              <a:solidFill>
                <a:schemeClr val="lt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grpSp>
        <xdr:nvGrpSpPr>
          <xdr:cNvPr id="64" name="Agrupar 6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40000000}"/>
              </a:ext>
            </a:extLst>
          </xdr:cNvPr>
          <xdr:cNvGrpSpPr/>
        </xdr:nvGrpSpPr>
        <xdr:grpSpPr>
          <a:xfrm>
            <a:off x="5252438" y="123825"/>
            <a:ext cx="1165435" cy="243701"/>
            <a:chOff x="3341571" y="88944"/>
            <a:chExt cx="1169375" cy="243701"/>
          </a:xfrm>
        </xdr:grpSpPr>
        <xdr:sp macro="" textlink="">
          <xdr:nvSpPr>
            <xdr:cNvPr id="87" name="Retângulo: Cantos Arredondados 86">
              <a:extLst>
                <a:ext uri="{FF2B5EF4-FFF2-40B4-BE49-F238E27FC236}">
                  <a16:creationId xmlns:a16="http://schemas.microsoft.com/office/drawing/2014/main" id="{00000000-0008-0000-0200-000057000000}"/>
                </a:ext>
              </a:extLst>
            </xdr:cNvPr>
            <xdr:cNvSpPr/>
          </xdr:nvSpPr>
          <xdr:spPr>
            <a:xfrm>
              <a:off x="3341571" y="88944"/>
              <a:ext cx="1169375" cy="243701"/>
            </a:xfrm>
            <a:prstGeom prst="roundRect">
              <a:avLst>
                <a:gd name="adj" fmla="val 50000"/>
              </a:avLst>
            </a:prstGeom>
            <a:solidFill>
              <a:srgbClr val="FD3F0B"/>
            </a:solidFill>
            <a:ln>
              <a:noFill/>
            </a:ln>
            <a:effectLst>
              <a:outerShdw blurRad="304800" sx="105000" sy="105000" algn="ctr" rotWithShape="0">
                <a:srgbClr val="FB510D">
                  <a:alpha val="54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tIns="468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Resistência </a:t>
              </a:r>
            </a:p>
          </xdr:txBody>
        </xdr:sp>
        <xdr:sp macro="" textlink="">
          <xdr:nvSpPr>
            <xdr:cNvPr id="88" name="Forma Livre: Forma 87">
              <a:extLst>
                <a:ext uri="{FF2B5EF4-FFF2-40B4-BE49-F238E27FC236}">
                  <a16:creationId xmlns:a16="http://schemas.microsoft.com/office/drawing/2014/main" id="{00000000-0008-0000-0200-000058000000}"/>
                </a:ext>
              </a:extLst>
            </xdr:cNvPr>
            <xdr:cNvSpPr>
              <a:spLocks noChangeAspect="1"/>
            </xdr:cNvSpPr>
          </xdr:nvSpPr>
          <xdr:spPr>
            <a:xfrm>
              <a:off x="3386968" y="120794"/>
              <a:ext cx="152261" cy="180000"/>
            </a:xfrm>
            <a:custGeom>
              <a:avLst/>
              <a:gdLst>
                <a:gd name="connsiteX0" fmla="*/ 2054694 w 2887985"/>
                <a:gd name="connsiteY0" fmla="*/ 1117429 h 3390900"/>
                <a:gd name="connsiteX1" fmla="*/ 2229809 w 2887985"/>
                <a:gd name="connsiteY1" fmla="*/ 1292544 h 3390900"/>
                <a:gd name="connsiteX2" fmla="*/ 1180556 w 2887985"/>
                <a:gd name="connsiteY2" fmla="*/ 2341796 h 3390900"/>
                <a:gd name="connsiteX3" fmla="*/ 640894 w 2887985"/>
                <a:gd name="connsiteY3" fmla="*/ 1802134 h 3390900"/>
                <a:gd name="connsiteX4" fmla="*/ 816009 w 2887985"/>
                <a:gd name="connsiteY4" fmla="*/ 1627019 h 3390900"/>
                <a:gd name="connsiteX5" fmla="*/ 1180556 w 2887985"/>
                <a:gd name="connsiteY5" fmla="*/ 1991566 h 3390900"/>
                <a:gd name="connsiteX6" fmla="*/ 1447238 w 2887985"/>
                <a:gd name="connsiteY6" fmla="*/ 252005 h 3390900"/>
                <a:gd name="connsiteX7" fmla="*/ 221121 w 2887985"/>
                <a:gd name="connsiteY7" fmla="*/ 673686 h 3390900"/>
                <a:gd name="connsiteX8" fmla="*/ 214633 w 2887985"/>
                <a:gd name="connsiteY8" fmla="*/ 1854391 h 3390900"/>
                <a:gd name="connsiteX9" fmla="*/ 1434263 w 2887985"/>
                <a:gd name="connsiteY9" fmla="*/ 3138895 h 3390900"/>
                <a:gd name="connsiteX10" fmla="*/ 2673355 w 2887985"/>
                <a:gd name="connsiteY10" fmla="*/ 1854391 h 3390900"/>
                <a:gd name="connsiteX11" fmla="*/ 2673355 w 2887985"/>
                <a:gd name="connsiteY11" fmla="*/ 686660 h 3390900"/>
                <a:gd name="connsiteX12" fmla="*/ 1447805 w 2887985"/>
                <a:gd name="connsiteY12" fmla="*/ 0 h 3390900"/>
                <a:gd name="connsiteX13" fmla="*/ 2887985 w 2887985"/>
                <a:gd name="connsiteY13" fmla="*/ 510540 h 3390900"/>
                <a:gd name="connsiteX14" fmla="*/ 2887985 w 2887985"/>
                <a:gd name="connsiteY14" fmla="*/ 1882140 h 3390900"/>
                <a:gd name="connsiteX15" fmla="*/ 1432565 w 2887985"/>
                <a:gd name="connsiteY15" fmla="*/ 3390900 h 3390900"/>
                <a:gd name="connsiteX16" fmla="*/ 5 w 2887985"/>
                <a:gd name="connsiteY16" fmla="*/ 1882140 h 3390900"/>
                <a:gd name="connsiteX17" fmla="*/ 7625 w 2887985"/>
                <a:gd name="connsiteY17" fmla="*/ 495300 h 33909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87985" h="3390900">
                  <a:moveTo>
                    <a:pt x="2054694" y="1117429"/>
                  </a:moveTo>
                  <a:lnTo>
                    <a:pt x="2229809" y="1292544"/>
                  </a:lnTo>
                  <a:lnTo>
                    <a:pt x="1180556" y="2341796"/>
                  </a:lnTo>
                  <a:lnTo>
                    <a:pt x="640894" y="1802134"/>
                  </a:lnTo>
                  <a:lnTo>
                    <a:pt x="816009" y="1627019"/>
                  </a:lnTo>
                  <a:lnTo>
                    <a:pt x="1180556" y="1991566"/>
                  </a:lnTo>
                  <a:close/>
                  <a:moveTo>
                    <a:pt x="1447238" y="252005"/>
                  </a:moveTo>
                  <a:lnTo>
                    <a:pt x="221121" y="673686"/>
                  </a:lnTo>
                  <a:lnTo>
                    <a:pt x="214633" y="1854391"/>
                  </a:lnTo>
                  <a:cubicBezTo>
                    <a:pt x="212471" y="2723702"/>
                    <a:pt x="1177741" y="3035096"/>
                    <a:pt x="1434263" y="3138895"/>
                  </a:cubicBezTo>
                  <a:cubicBezTo>
                    <a:pt x="1689162" y="3039151"/>
                    <a:pt x="2669030" y="2710727"/>
                    <a:pt x="2673355" y="1854391"/>
                  </a:cubicBezTo>
                  <a:lnTo>
                    <a:pt x="2673355" y="686660"/>
                  </a:lnTo>
                  <a:close/>
                  <a:moveTo>
                    <a:pt x="1447805" y="0"/>
                  </a:moveTo>
                  <a:lnTo>
                    <a:pt x="2887985" y="510540"/>
                  </a:lnTo>
                  <a:lnTo>
                    <a:pt x="2887985" y="1882140"/>
                  </a:lnTo>
                  <a:cubicBezTo>
                    <a:pt x="2882905" y="2887980"/>
                    <a:pt x="1731966" y="3273742"/>
                    <a:pt x="1432565" y="3390900"/>
                  </a:cubicBezTo>
                  <a:cubicBezTo>
                    <a:pt x="1131258" y="3268979"/>
                    <a:pt x="-2535" y="2903220"/>
                    <a:pt x="5" y="1882140"/>
                  </a:cubicBezTo>
                  <a:lnTo>
                    <a:pt x="7625" y="495300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noFill/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5" name="Agrupar 6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200-000041000000}"/>
              </a:ext>
            </a:extLst>
          </xdr:cNvPr>
          <xdr:cNvGrpSpPr/>
        </xdr:nvGrpSpPr>
        <xdr:grpSpPr>
          <a:xfrm>
            <a:off x="3901291" y="123825"/>
            <a:ext cx="1105113" cy="243701"/>
            <a:chOff x="3573869" y="104252"/>
            <a:chExt cx="1105394" cy="243701"/>
          </a:xfrm>
        </xdr:grpSpPr>
        <xdr:sp macro="" textlink="">
          <xdr:nvSpPr>
            <xdr:cNvPr id="85" name="Retângulo: Cantos Arredondados 8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200-000055000000}"/>
                </a:ext>
              </a:extLst>
            </xdr:cNvPr>
            <xdr:cNvSpPr/>
          </xdr:nvSpPr>
          <xdr:spPr>
            <a:xfrm>
              <a:off x="3573869" y="104252"/>
              <a:ext cx="1105394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Dashboard</a:t>
              </a:r>
            </a:p>
          </xdr:txBody>
        </xdr:sp>
        <xdr:sp macro="" textlink="">
          <xdr:nvSpPr>
            <xdr:cNvPr id="86" name="Forma Livre: Forma 85">
              <a:extLst>
                <a:ext uri="{FF2B5EF4-FFF2-40B4-BE49-F238E27FC236}">
                  <a16:creationId xmlns:a16="http://schemas.microsoft.com/office/drawing/2014/main" id="{00000000-0008-0000-0200-000056000000}"/>
                </a:ext>
              </a:extLst>
            </xdr:cNvPr>
            <xdr:cNvSpPr>
              <a:spLocks noChangeAspect="1"/>
            </xdr:cNvSpPr>
          </xdr:nvSpPr>
          <xdr:spPr>
            <a:xfrm>
              <a:off x="3652639" y="154102"/>
              <a:ext cx="142888" cy="144000"/>
            </a:xfrm>
            <a:custGeom>
              <a:avLst/>
              <a:gdLst>
                <a:gd name="connsiteX0" fmla="*/ 175440 w 3076156"/>
                <a:gd name="connsiteY0" fmla="*/ 2044504 h 3097121"/>
                <a:gd name="connsiteX1" fmla="*/ 1120088 w 3076156"/>
                <a:gd name="connsiteY1" fmla="*/ 2044504 h 3097121"/>
                <a:gd name="connsiteX2" fmla="*/ 1295528 w 3076156"/>
                <a:gd name="connsiteY2" fmla="*/ 2219944 h 3097121"/>
                <a:gd name="connsiteX3" fmla="*/ 1295528 w 3076156"/>
                <a:gd name="connsiteY3" fmla="*/ 2921681 h 3097121"/>
                <a:gd name="connsiteX4" fmla="*/ 1120088 w 3076156"/>
                <a:gd name="connsiteY4" fmla="*/ 3097121 h 3097121"/>
                <a:gd name="connsiteX5" fmla="*/ 175440 w 3076156"/>
                <a:gd name="connsiteY5" fmla="*/ 3097121 h 3097121"/>
                <a:gd name="connsiteX6" fmla="*/ 0 w 3076156"/>
                <a:gd name="connsiteY6" fmla="*/ 2921681 h 3097121"/>
                <a:gd name="connsiteX7" fmla="*/ 0 w 3076156"/>
                <a:gd name="connsiteY7" fmla="*/ 2219944 h 3097121"/>
                <a:gd name="connsiteX8" fmla="*/ 175440 w 3076156"/>
                <a:gd name="connsiteY8" fmla="*/ 2044504 h 3097121"/>
                <a:gd name="connsiteX9" fmla="*/ 1996554 w 3076156"/>
                <a:gd name="connsiteY9" fmla="*/ 1543499 h 3097121"/>
                <a:gd name="connsiteX10" fmla="*/ 2860230 w 3076156"/>
                <a:gd name="connsiteY10" fmla="*/ 1543499 h 3097121"/>
                <a:gd name="connsiteX11" fmla="*/ 3076156 w 3076156"/>
                <a:gd name="connsiteY11" fmla="*/ 1759425 h 3097121"/>
                <a:gd name="connsiteX12" fmla="*/ 3076156 w 3076156"/>
                <a:gd name="connsiteY12" fmla="*/ 2881195 h 3097121"/>
                <a:gd name="connsiteX13" fmla="*/ 2860230 w 3076156"/>
                <a:gd name="connsiteY13" fmla="*/ 3097121 h 3097121"/>
                <a:gd name="connsiteX14" fmla="*/ 1996554 w 3076156"/>
                <a:gd name="connsiteY14" fmla="*/ 3097121 h 3097121"/>
                <a:gd name="connsiteX15" fmla="*/ 1780628 w 3076156"/>
                <a:gd name="connsiteY15" fmla="*/ 2881195 h 3097121"/>
                <a:gd name="connsiteX16" fmla="*/ 1780628 w 3076156"/>
                <a:gd name="connsiteY16" fmla="*/ 1759425 h 3097121"/>
                <a:gd name="connsiteX17" fmla="*/ 1996554 w 3076156"/>
                <a:gd name="connsiteY17" fmla="*/ 1543499 h 3097121"/>
                <a:gd name="connsiteX18" fmla="*/ 1956068 w 3076156"/>
                <a:gd name="connsiteY18" fmla="*/ 0 h 3097121"/>
                <a:gd name="connsiteX19" fmla="*/ 2900716 w 3076156"/>
                <a:gd name="connsiteY19" fmla="*/ 0 h 3097121"/>
                <a:gd name="connsiteX20" fmla="*/ 3076156 w 3076156"/>
                <a:gd name="connsiteY20" fmla="*/ 175440 h 3097121"/>
                <a:gd name="connsiteX21" fmla="*/ 3076156 w 3076156"/>
                <a:gd name="connsiteY21" fmla="*/ 877177 h 3097121"/>
                <a:gd name="connsiteX22" fmla="*/ 2900716 w 3076156"/>
                <a:gd name="connsiteY22" fmla="*/ 1052617 h 3097121"/>
                <a:gd name="connsiteX23" fmla="*/ 1956068 w 3076156"/>
                <a:gd name="connsiteY23" fmla="*/ 1052617 h 3097121"/>
                <a:gd name="connsiteX24" fmla="*/ 1780628 w 3076156"/>
                <a:gd name="connsiteY24" fmla="*/ 877177 h 3097121"/>
                <a:gd name="connsiteX25" fmla="*/ 1780628 w 3076156"/>
                <a:gd name="connsiteY25" fmla="*/ 175440 h 3097121"/>
                <a:gd name="connsiteX26" fmla="*/ 1956068 w 3076156"/>
                <a:gd name="connsiteY26" fmla="*/ 0 h 3097121"/>
                <a:gd name="connsiteX27" fmla="*/ 215926 w 3076156"/>
                <a:gd name="connsiteY27" fmla="*/ 0 h 3097121"/>
                <a:gd name="connsiteX28" fmla="*/ 1079602 w 3076156"/>
                <a:gd name="connsiteY28" fmla="*/ 0 h 3097121"/>
                <a:gd name="connsiteX29" fmla="*/ 1295528 w 3076156"/>
                <a:gd name="connsiteY29" fmla="*/ 215926 h 3097121"/>
                <a:gd name="connsiteX30" fmla="*/ 1295528 w 3076156"/>
                <a:gd name="connsiteY30" fmla="*/ 1337696 h 3097121"/>
                <a:gd name="connsiteX31" fmla="*/ 1079602 w 3076156"/>
                <a:gd name="connsiteY31" fmla="*/ 1553622 h 3097121"/>
                <a:gd name="connsiteX32" fmla="*/ 215926 w 3076156"/>
                <a:gd name="connsiteY32" fmla="*/ 1553622 h 3097121"/>
                <a:gd name="connsiteX33" fmla="*/ 0 w 3076156"/>
                <a:gd name="connsiteY33" fmla="*/ 1337696 h 3097121"/>
                <a:gd name="connsiteX34" fmla="*/ 0 w 3076156"/>
                <a:gd name="connsiteY34" fmla="*/ 215926 h 3097121"/>
                <a:gd name="connsiteX35" fmla="*/ 215926 w 3076156"/>
                <a:gd name="connsiteY35" fmla="*/ 0 h 30971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</a:cxnLst>
              <a:rect l="l" t="t" r="r" b="b"/>
              <a:pathLst>
                <a:path w="3076156" h="3097121">
                  <a:moveTo>
                    <a:pt x="175440" y="2044504"/>
                  </a:moveTo>
                  <a:lnTo>
                    <a:pt x="1120088" y="2044504"/>
                  </a:lnTo>
                  <a:cubicBezTo>
                    <a:pt x="1216981" y="2044504"/>
                    <a:pt x="1295528" y="2123051"/>
                    <a:pt x="1295528" y="2219944"/>
                  </a:cubicBezTo>
                  <a:lnTo>
                    <a:pt x="1295528" y="2921681"/>
                  </a:lnTo>
                  <a:cubicBezTo>
                    <a:pt x="1295528" y="3018574"/>
                    <a:pt x="1216981" y="3097121"/>
                    <a:pt x="1120088" y="3097121"/>
                  </a:cubicBezTo>
                  <a:lnTo>
                    <a:pt x="175440" y="3097121"/>
                  </a:lnTo>
                  <a:cubicBezTo>
                    <a:pt x="78547" y="3097121"/>
                    <a:pt x="0" y="3018574"/>
                    <a:pt x="0" y="2921681"/>
                  </a:cubicBezTo>
                  <a:lnTo>
                    <a:pt x="0" y="2219944"/>
                  </a:lnTo>
                  <a:cubicBezTo>
                    <a:pt x="0" y="2123051"/>
                    <a:pt x="78547" y="2044504"/>
                    <a:pt x="175440" y="2044504"/>
                  </a:cubicBezTo>
                  <a:close/>
                  <a:moveTo>
                    <a:pt x="1996554" y="1543499"/>
                  </a:moveTo>
                  <a:lnTo>
                    <a:pt x="2860230" y="1543499"/>
                  </a:lnTo>
                  <a:cubicBezTo>
                    <a:pt x="2979483" y="1543499"/>
                    <a:pt x="3076156" y="1640172"/>
                    <a:pt x="3076156" y="1759425"/>
                  </a:cubicBezTo>
                  <a:lnTo>
                    <a:pt x="3076156" y="2881195"/>
                  </a:lnTo>
                  <a:cubicBezTo>
                    <a:pt x="3076156" y="3000448"/>
                    <a:pt x="2979483" y="3097121"/>
                    <a:pt x="2860230" y="3097121"/>
                  </a:cubicBezTo>
                  <a:lnTo>
                    <a:pt x="1996554" y="3097121"/>
                  </a:lnTo>
                  <a:cubicBezTo>
                    <a:pt x="1877301" y="3097121"/>
                    <a:pt x="1780628" y="3000448"/>
                    <a:pt x="1780628" y="2881195"/>
                  </a:cubicBezTo>
                  <a:lnTo>
                    <a:pt x="1780628" y="1759425"/>
                  </a:lnTo>
                  <a:cubicBezTo>
                    <a:pt x="1780628" y="1640172"/>
                    <a:pt x="1877301" y="1543499"/>
                    <a:pt x="1996554" y="1543499"/>
                  </a:cubicBezTo>
                  <a:close/>
                  <a:moveTo>
                    <a:pt x="1956068" y="0"/>
                  </a:moveTo>
                  <a:lnTo>
                    <a:pt x="2900716" y="0"/>
                  </a:lnTo>
                  <a:cubicBezTo>
                    <a:pt x="2997609" y="0"/>
                    <a:pt x="3076156" y="78547"/>
                    <a:pt x="3076156" y="175440"/>
                  </a:cubicBezTo>
                  <a:lnTo>
                    <a:pt x="3076156" y="877177"/>
                  </a:lnTo>
                  <a:cubicBezTo>
                    <a:pt x="3076156" y="974070"/>
                    <a:pt x="2997609" y="1052617"/>
                    <a:pt x="2900716" y="1052617"/>
                  </a:cubicBezTo>
                  <a:lnTo>
                    <a:pt x="1956068" y="1052617"/>
                  </a:lnTo>
                  <a:cubicBezTo>
                    <a:pt x="1859175" y="1052617"/>
                    <a:pt x="1780628" y="974070"/>
                    <a:pt x="1780628" y="877177"/>
                  </a:cubicBezTo>
                  <a:lnTo>
                    <a:pt x="1780628" y="175440"/>
                  </a:lnTo>
                  <a:cubicBezTo>
                    <a:pt x="1780628" y="78547"/>
                    <a:pt x="1859175" y="0"/>
                    <a:pt x="1956068" y="0"/>
                  </a:cubicBezTo>
                  <a:close/>
                  <a:moveTo>
                    <a:pt x="215926" y="0"/>
                  </a:moveTo>
                  <a:lnTo>
                    <a:pt x="1079602" y="0"/>
                  </a:lnTo>
                  <a:cubicBezTo>
                    <a:pt x="1198855" y="0"/>
                    <a:pt x="1295528" y="96673"/>
                    <a:pt x="1295528" y="215926"/>
                  </a:cubicBezTo>
                  <a:lnTo>
                    <a:pt x="1295528" y="1337696"/>
                  </a:lnTo>
                  <a:cubicBezTo>
                    <a:pt x="1295528" y="1456949"/>
                    <a:pt x="1198855" y="1553622"/>
                    <a:pt x="1079602" y="1553622"/>
                  </a:cubicBezTo>
                  <a:lnTo>
                    <a:pt x="215926" y="1553622"/>
                  </a:lnTo>
                  <a:cubicBezTo>
                    <a:pt x="96673" y="1553622"/>
                    <a:pt x="0" y="1456949"/>
                    <a:pt x="0" y="1337696"/>
                  </a:cubicBezTo>
                  <a:lnTo>
                    <a:pt x="0" y="215926"/>
                  </a:lnTo>
                  <a:cubicBezTo>
                    <a:pt x="0" y="96673"/>
                    <a:pt x="96673" y="0"/>
                    <a:pt x="215926" y="0"/>
                  </a:cubicBezTo>
                  <a:close/>
                </a:path>
              </a:pathLst>
            </a:custGeom>
            <a:solidFill>
              <a:sysClr val="window" lastClr="FFFFFF"/>
            </a:solidFill>
            <a:ln w="952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6" name="Agrupar 6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200-000042000000}"/>
              </a:ext>
            </a:extLst>
          </xdr:cNvPr>
          <xdr:cNvGrpSpPr/>
        </xdr:nvGrpSpPr>
        <xdr:grpSpPr>
          <a:xfrm>
            <a:off x="6663907" y="123825"/>
            <a:ext cx="1323538" cy="243701"/>
            <a:chOff x="5650832" y="88944"/>
            <a:chExt cx="1329890" cy="243701"/>
          </a:xfrm>
        </xdr:grpSpPr>
        <xdr:sp macro="" textlink="">
          <xdr:nvSpPr>
            <xdr:cNvPr id="83" name="Retângulo: Cantos Arredondados 82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00000000-0008-0000-0200-000053000000}"/>
                </a:ext>
              </a:extLst>
            </xdr:cNvPr>
            <xdr:cNvSpPr/>
          </xdr:nvSpPr>
          <xdr:spPr>
            <a:xfrm>
              <a:off x="5650832" y="88944"/>
              <a:ext cx="132989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Carregamentos</a:t>
              </a:r>
            </a:p>
          </xdr:txBody>
        </xdr:sp>
        <xdr:sp macro="" textlink="">
          <xdr:nvSpPr>
            <xdr:cNvPr id="84" name="Forma Livre: Forma 83">
              <a:extLst>
                <a:ext uri="{FF2B5EF4-FFF2-40B4-BE49-F238E27FC236}">
                  <a16:creationId xmlns:a16="http://schemas.microsoft.com/office/drawing/2014/main" id="{00000000-0008-0000-0200-000054000000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5692742" y="120794"/>
              <a:ext cx="180000" cy="180000"/>
            </a:xfrm>
            <a:custGeom>
              <a:avLst/>
              <a:gdLst>
                <a:gd name="connsiteX0" fmla="*/ 2860562 w 4250871"/>
                <a:gd name="connsiteY0" fmla="*/ 3136711 h 4250873"/>
                <a:gd name="connsiteX1" fmla="*/ 2743390 w 4250871"/>
                <a:gd name="connsiteY1" fmla="*/ 3253883 h 4250873"/>
                <a:gd name="connsiteX2" fmla="*/ 1430254 w 4250871"/>
                <a:gd name="connsiteY2" fmla="*/ 3253883 h 4250873"/>
                <a:gd name="connsiteX3" fmla="*/ 1592348 w 4250871"/>
                <a:gd name="connsiteY3" fmla="*/ 3415977 h 4250873"/>
                <a:gd name="connsiteX4" fmla="*/ 1592348 w 4250871"/>
                <a:gd name="connsiteY4" fmla="*/ 3581683 h 4250873"/>
                <a:gd name="connsiteX5" fmla="*/ 1426642 w 4250871"/>
                <a:gd name="connsiteY5" fmla="*/ 3581683 h 4250873"/>
                <a:gd name="connsiteX6" fmla="*/ 1072656 w 4250871"/>
                <a:gd name="connsiteY6" fmla="*/ 3227696 h 4250873"/>
                <a:gd name="connsiteX7" fmla="*/ 1071717 w 4250871"/>
                <a:gd name="connsiteY7" fmla="*/ 3227127 h 4250873"/>
                <a:gd name="connsiteX8" fmla="*/ 1068045 w 4250871"/>
                <a:gd name="connsiteY8" fmla="*/ 3223086 h 4250873"/>
                <a:gd name="connsiteX9" fmla="*/ 1064523 w 4250871"/>
                <a:gd name="connsiteY9" fmla="*/ 3219563 h 4250873"/>
                <a:gd name="connsiteX10" fmla="*/ 1063649 w 4250871"/>
                <a:gd name="connsiteY10" fmla="*/ 3218248 h 4250873"/>
                <a:gd name="connsiteX11" fmla="*/ 1049089 w 4250871"/>
                <a:gd name="connsiteY11" fmla="*/ 3202223 h 4250873"/>
                <a:gd name="connsiteX12" fmla="*/ 1045750 w 4250871"/>
                <a:gd name="connsiteY12" fmla="*/ 3191293 h 4250873"/>
                <a:gd name="connsiteX13" fmla="*/ 1038784 w 4250871"/>
                <a:gd name="connsiteY13" fmla="*/ 3180802 h 4250873"/>
                <a:gd name="connsiteX14" fmla="*/ 1032182 w 4250871"/>
                <a:gd name="connsiteY14" fmla="*/ 3146874 h 4250873"/>
                <a:gd name="connsiteX15" fmla="*/ 1029077 w 4250871"/>
                <a:gd name="connsiteY15" fmla="*/ 3136711 h 4250873"/>
                <a:gd name="connsiteX16" fmla="*/ 1063396 w 4250871"/>
                <a:gd name="connsiteY16" fmla="*/ 3053858 h 4250873"/>
                <a:gd name="connsiteX17" fmla="*/ 1066851 w 4250871"/>
                <a:gd name="connsiteY17" fmla="*/ 3051529 h 4250873"/>
                <a:gd name="connsiteX18" fmla="*/ 1426642 w 4250871"/>
                <a:gd name="connsiteY18" fmla="*/ 2691737 h 4250873"/>
                <a:gd name="connsiteX19" fmla="*/ 1592348 w 4250871"/>
                <a:gd name="connsiteY19" fmla="*/ 2691737 h 4250873"/>
                <a:gd name="connsiteX20" fmla="*/ 1592348 w 4250871"/>
                <a:gd name="connsiteY20" fmla="*/ 2857443 h 4250873"/>
                <a:gd name="connsiteX21" fmla="*/ 1430252 w 4250871"/>
                <a:gd name="connsiteY21" fmla="*/ 3019539 h 4250873"/>
                <a:gd name="connsiteX22" fmla="*/ 2743390 w 4250871"/>
                <a:gd name="connsiteY22" fmla="*/ 3019539 h 4250873"/>
                <a:gd name="connsiteX23" fmla="*/ 2860562 w 4250871"/>
                <a:gd name="connsiteY23" fmla="*/ 3136711 h 4250873"/>
                <a:gd name="connsiteX24" fmla="*/ 2860562 w 4250871"/>
                <a:gd name="connsiteY24" fmla="*/ 2122041 h 4250873"/>
                <a:gd name="connsiteX25" fmla="*/ 2743390 w 4250871"/>
                <a:gd name="connsiteY25" fmla="*/ 2239213 h 4250873"/>
                <a:gd name="connsiteX26" fmla="*/ 1430254 w 4250871"/>
                <a:gd name="connsiteY26" fmla="*/ 2239213 h 4250873"/>
                <a:gd name="connsiteX27" fmla="*/ 1592348 w 4250871"/>
                <a:gd name="connsiteY27" fmla="*/ 2401307 h 4250873"/>
                <a:gd name="connsiteX28" fmla="*/ 1592348 w 4250871"/>
                <a:gd name="connsiteY28" fmla="*/ 2567013 h 4250873"/>
                <a:gd name="connsiteX29" fmla="*/ 1426642 w 4250871"/>
                <a:gd name="connsiteY29" fmla="*/ 2567013 h 4250873"/>
                <a:gd name="connsiteX30" fmla="*/ 1072656 w 4250871"/>
                <a:gd name="connsiteY30" fmla="*/ 2213026 h 4250873"/>
                <a:gd name="connsiteX31" fmla="*/ 1071717 w 4250871"/>
                <a:gd name="connsiteY31" fmla="*/ 2212457 h 4250873"/>
                <a:gd name="connsiteX32" fmla="*/ 1068045 w 4250871"/>
                <a:gd name="connsiteY32" fmla="*/ 2208416 h 4250873"/>
                <a:gd name="connsiteX33" fmla="*/ 1064523 w 4250871"/>
                <a:gd name="connsiteY33" fmla="*/ 2204893 h 4250873"/>
                <a:gd name="connsiteX34" fmla="*/ 1063649 w 4250871"/>
                <a:gd name="connsiteY34" fmla="*/ 2203578 h 4250873"/>
                <a:gd name="connsiteX35" fmla="*/ 1049089 w 4250871"/>
                <a:gd name="connsiteY35" fmla="*/ 2187553 h 4250873"/>
                <a:gd name="connsiteX36" fmla="*/ 1045750 w 4250871"/>
                <a:gd name="connsiteY36" fmla="*/ 2176623 h 4250873"/>
                <a:gd name="connsiteX37" fmla="*/ 1038784 w 4250871"/>
                <a:gd name="connsiteY37" fmla="*/ 2166132 h 4250873"/>
                <a:gd name="connsiteX38" fmla="*/ 1032182 w 4250871"/>
                <a:gd name="connsiteY38" fmla="*/ 2132204 h 4250873"/>
                <a:gd name="connsiteX39" fmla="*/ 1029077 w 4250871"/>
                <a:gd name="connsiteY39" fmla="*/ 2122041 h 4250873"/>
                <a:gd name="connsiteX40" fmla="*/ 1063396 w 4250871"/>
                <a:gd name="connsiteY40" fmla="*/ 2039188 h 4250873"/>
                <a:gd name="connsiteX41" fmla="*/ 1066851 w 4250871"/>
                <a:gd name="connsiteY41" fmla="*/ 2036859 h 4250873"/>
                <a:gd name="connsiteX42" fmla="*/ 1426642 w 4250871"/>
                <a:gd name="connsiteY42" fmla="*/ 1677067 h 4250873"/>
                <a:gd name="connsiteX43" fmla="*/ 1592348 w 4250871"/>
                <a:gd name="connsiteY43" fmla="*/ 1677067 h 4250873"/>
                <a:gd name="connsiteX44" fmla="*/ 1592348 w 4250871"/>
                <a:gd name="connsiteY44" fmla="*/ 1842773 h 4250873"/>
                <a:gd name="connsiteX45" fmla="*/ 1430252 w 4250871"/>
                <a:gd name="connsiteY45" fmla="*/ 2004869 h 4250873"/>
                <a:gd name="connsiteX46" fmla="*/ 2743390 w 4250871"/>
                <a:gd name="connsiteY46" fmla="*/ 2004869 h 4250873"/>
                <a:gd name="connsiteX47" fmla="*/ 2860562 w 4250871"/>
                <a:gd name="connsiteY47" fmla="*/ 2122041 h 4250873"/>
                <a:gd name="connsiteX48" fmla="*/ 2860562 w 4250871"/>
                <a:gd name="connsiteY48" fmla="*/ 1107371 h 4250873"/>
                <a:gd name="connsiteX49" fmla="*/ 2743390 w 4250871"/>
                <a:gd name="connsiteY49" fmla="*/ 1224543 h 4250873"/>
                <a:gd name="connsiteX50" fmla="*/ 1430254 w 4250871"/>
                <a:gd name="connsiteY50" fmla="*/ 1224543 h 4250873"/>
                <a:gd name="connsiteX51" fmla="*/ 1592348 w 4250871"/>
                <a:gd name="connsiteY51" fmla="*/ 1386637 h 4250873"/>
                <a:gd name="connsiteX52" fmla="*/ 1592348 w 4250871"/>
                <a:gd name="connsiteY52" fmla="*/ 1552343 h 4250873"/>
                <a:gd name="connsiteX53" fmla="*/ 1426642 w 4250871"/>
                <a:gd name="connsiteY53" fmla="*/ 1552343 h 4250873"/>
                <a:gd name="connsiteX54" fmla="*/ 1072656 w 4250871"/>
                <a:gd name="connsiteY54" fmla="*/ 1198356 h 4250873"/>
                <a:gd name="connsiteX55" fmla="*/ 1071717 w 4250871"/>
                <a:gd name="connsiteY55" fmla="*/ 1197787 h 4250873"/>
                <a:gd name="connsiteX56" fmla="*/ 1068045 w 4250871"/>
                <a:gd name="connsiteY56" fmla="*/ 1193746 h 4250873"/>
                <a:gd name="connsiteX57" fmla="*/ 1064523 w 4250871"/>
                <a:gd name="connsiteY57" fmla="*/ 1190223 h 4250873"/>
                <a:gd name="connsiteX58" fmla="*/ 1063649 w 4250871"/>
                <a:gd name="connsiteY58" fmla="*/ 1188908 h 4250873"/>
                <a:gd name="connsiteX59" fmla="*/ 1049089 w 4250871"/>
                <a:gd name="connsiteY59" fmla="*/ 1172883 h 4250873"/>
                <a:gd name="connsiteX60" fmla="*/ 1045750 w 4250871"/>
                <a:gd name="connsiteY60" fmla="*/ 1161953 h 4250873"/>
                <a:gd name="connsiteX61" fmla="*/ 1038784 w 4250871"/>
                <a:gd name="connsiteY61" fmla="*/ 1151462 h 4250873"/>
                <a:gd name="connsiteX62" fmla="*/ 1032182 w 4250871"/>
                <a:gd name="connsiteY62" fmla="*/ 1117534 h 4250873"/>
                <a:gd name="connsiteX63" fmla="*/ 1029077 w 4250871"/>
                <a:gd name="connsiteY63" fmla="*/ 1107371 h 4250873"/>
                <a:gd name="connsiteX64" fmla="*/ 1063396 w 4250871"/>
                <a:gd name="connsiteY64" fmla="*/ 1024518 h 4250873"/>
                <a:gd name="connsiteX65" fmla="*/ 1066851 w 4250871"/>
                <a:gd name="connsiteY65" fmla="*/ 1022189 h 4250873"/>
                <a:gd name="connsiteX66" fmla="*/ 1426642 w 4250871"/>
                <a:gd name="connsiteY66" fmla="*/ 662397 h 4250873"/>
                <a:gd name="connsiteX67" fmla="*/ 1592348 w 4250871"/>
                <a:gd name="connsiteY67" fmla="*/ 662397 h 4250873"/>
                <a:gd name="connsiteX68" fmla="*/ 1592348 w 4250871"/>
                <a:gd name="connsiteY68" fmla="*/ 828103 h 4250873"/>
                <a:gd name="connsiteX69" fmla="*/ 1430252 w 4250871"/>
                <a:gd name="connsiteY69" fmla="*/ 990199 h 4250873"/>
                <a:gd name="connsiteX70" fmla="*/ 2743390 w 4250871"/>
                <a:gd name="connsiteY70" fmla="*/ 990199 h 4250873"/>
                <a:gd name="connsiteX71" fmla="*/ 2860562 w 4250871"/>
                <a:gd name="connsiteY71" fmla="*/ 1107371 h 4250873"/>
                <a:gd name="connsiteX72" fmla="*/ 3334103 w 4250871"/>
                <a:gd name="connsiteY72" fmla="*/ 1052131 h 4250873"/>
                <a:gd name="connsiteX73" fmla="*/ 3334103 w 4250871"/>
                <a:gd name="connsiteY73" fmla="*/ 3191951 h 4250873"/>
                <a:gd name="connsiteX74" fmla="*/ 3216931 w 4250871"/>
                <a:gd name="connsiteY74" fmla="*/ 3309123 h 4250873"/>
                <a:gd name="connsiteX75" fmla="*/ 3099759 w 4250871"/>
                <a:gd name="connsiteY75" fmla="*/ 3191951 h 4250873"/>
                <a:gd name="connsiteX76" fmla="*/ 3099759 w 4250871"/>
                <a:gd name="connsiteY76" fmla="*/ 1052131 h 4250873"/>
                <a:gd name="connsiteX77" fmla="*/ 3216931 w 4250871"/>
                <a:gd name="connsiteY77" fmla="*/ 934959 h 4250873"/>
                <a:gd name="connsiteX78" fmla="*/ 3334103 w 4250871"/>
                <a:gd name="connsiteY78" fmla="*/ 1052131 h 4250873"/>
                <a:gd name="connsiteX79" fmla="*/ 3984408 w 4250871"/>
                <a:gd name="connsiteY79" fmla="*/ 2125436 h 4250873"/>
                <a:gd name="connsiteX80" fmla="*/ 2125437 w 4250871"/>
                <a:gd name="connsiteY80" fmla="*/ 266463 h 4250873"/>
                <a:gd name="connsiteX81" fmla="*/ 266465 w 4250871"/>
                <a:gd name="connsiteY81" fmla="*/ 2125435 h 4250873"/>
                <a:gd name="connsiteX82" fmla="*/ 2125437 w 4250871"/>
                <a:gd name="connsiteY82" fmla="*/ 3984408 h 4250873"/>
                <a:gd name="connsiteX83" fmla="*/ 3984408 w 4250871"/>
                <a:gd name="connsiteY83" fmla="*/ 2125436 h 4250873"/>
                <a:gd name="connsiteX84" fmla="*/ 4250871 w 4250871"/>
                <a:gd name="connsiteY84" fmla="*/ 2125437 h 4250873"/>
                <a:gd name="connsiteX85" fmla="*/ 2125436 w 4250871"/>
                <a:gd name="connsiteY85" fmla="*/ 4250873 h 4250873"/>
                <a:gd name="connsiteX86" fmla="*/ 0 w 4250871"/>
                <a:gd name="connsiteY86" fmla="*/ 2125436 h 4250873"/>
                <a:gd name="connsiteX87" fmla="*/ 2125436 w 4250871"/>
                <a:gd name="connsiteY87" fmla="*/ 0 h 4250873"/>
                <a:gd name="connsiteX88" fmla="*/ 4250871 w 4250871"/>
                <a:gd name="connsiteY88" fmla="*/ 2125437 h 42508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</a:cxnLst>
              <a:rect l="l" t="t" r="r" b="b"/>
              <a:pathLst>
                <a:path w="4250871" h="4250873">
                  <a:moveTo>
                    <a:pt x="2860562" y="3136711"/>
                  </a:moveTo>
                  <a:cubicBezTo>
                    <a:pt x="2860562" y="3201423"/>
                    <a:pt x="2808102" y="3253883"/>
                    <a:pt x="2743390" y="3253883"/>
                  </a:cubicBezTo>
                  <a:lnTo>
                    <a:pt x="1430254" y="3253883"/>
                  </a:lnTo>
                  <a:lnTo>
                    <a:pt x="1592348" y="3415977"/>
                  </a:lnTo>
                  <a:cubicBezTo>
                    <a:pt x="1638107" y="3461735"/>
                    <a:pt x="1638107" y="3535925"/>
                    <a:pt x="1592348" y="3581683"/>
                  </a:cubicBezTo>
                  <a:cubicBezTo>
                    <a:pt x="1546590" y="3627443"/>
                    <a:pt x="1472401" y="3627443"/>
                    <a:pt x="1426642" y="3581683"/>
                  </a:cubicBezTo>
                  <a:lnTo>
                    <a:pt x="1072656" y="3227696"/>
                  </a:lnTo>
                  <a:lnTo>
                    <a:pt x="1071717" y="3227127"/>
                  </a:lnTo>
                  <a:lnTo>
                    <a:pt x="1068045" y="3223086"/>
                  </a:lnTo>
                  <a:lnTo>
                    <a:pt x="1064523" y="3219563"/>
                  </a:lnTo>
                  <a:lnTo>
                    <a:pt x="1063649" y="3218248"/>
                  </a:lnTo>
                  <a:lnTo>
                    <a:pt x="1049089" y="3202223"/>
                  </a:lnTo>
                  <a:lnTo>
                    <a:pt x="1045750" y="3191293"/>
                  </a:lnTo>
                  <a:lnTo>
                    <a:pt x="1038784" y="3180802"/>
                  </a:lnTo>
                  <a:lnTo>
                    <a:pt x="1032182" y="3146874"/>
                  </a:lnTo>
                  <a:lnTo>
                    <a:pt x="1029077" y="3136711"/>
                  </a:lnTo>
                  <a:cubicBezTo>
                    <a:pt x="1029077" y="3104355"/>
                    <a:pt x="1042192" y="3075062"/>
                    <a:pt x="1063396" y="3053858"/>
                  </a:cubicBezTo>
                  <a:lnTo>
                    <a:pt x="1066851" y="3051529"/>
                  </a:lnTo>
                  <a:lnTo>
                    <a:pt x="1426642" y="2691737"/>
                  </a:lnTo>
                  <a:cubicBezTo>
                    <a:pt x="1472401" y="2645978"/>
                    <a:pt x="1546590" y="2645978"/>
                    <a:pt x="1592348" y="2691737"/>
                  </a:cubicBezTo>
                  <a:cubicBezTo>
                    <a:pt x="1638107" y="2737495"/>
                    <a:pt x="1638107" y="2811685"/>
                    <a:pt x="1592348" y="2857443"/>
                  </a:cubicBezTo>
                  <a:lnTo>
                    <a:pt x="1430252" y="3019539"/>
                  </a:lnTo>
                  <a:lnTo>
                    <a:pt x="2743390" y="3019539"/>
                  </a:lnTo>
                  <a:cubicBezTo>
                    <a:pt x="2808102" y="3019539"/>
                    <a:pt x="2860562" y="3071999"/>
                    <a:pt x="2860562" y="3136711"/>
                  </a:cubicBezTo>
                  <a:close/>
                  <a:moveTo>
                    <a:pt x="2860562" y="2122041"/>
                  </a:moveTo>
                  <a:cubicBezTo>
                    <a:pt x="2860562" y="2186753"/>
                    <a:pt x="2808102" y="2239213"/>
                    <a:pt x="2743390" y="2239213"/>
                  </a:cubicBezTo>
                  <a:lnTo>
                    <a:pt x="1430254" y="2239213"/>
                  </a:lnTo>
                  <a:lnTo>
                    <a:pt x="1592348" y="2401307"/>
                  </a:lnTo>
                  <a:cubicBezTo>
                    <a:pt x="1638107" y="2447065"/>
                    <a:pt x="1638107" y="2521255"/>
                    <a:pt x="1592348" y="2567013"/>
                  </a:cubicBezTo>
                  <a:cubicBezTo>
                    <a:pt x="1546590" y="2612772"/>
                    <a:pt x="1472401" y="2612772"/>
                    <a:pt x="1426642" y="2567013"/>
                  </a:cubicBezTo>
                  <a:lnTo>
                    <a:pt x="1072656" y="2213026"/>
                  </a:lnTo>
                  <a:lnTo>
                    <a:pt x="1071717" y="2212457"/>
                  </a:lnTo>
                  <a:lnTo>
                    <a:pt x="1068045" y="2208416"/>
                  </a:lnTo>
                  <a:lnTo>
                    <a:pt x="1064523" y="2204893"/>
                  </a:lnTo>
                  <a:lnTo>
                    <a:pt x="1063649" y="2203578"/>
                  </a:lnTo>
                  <a:lnTo>
                    <a:pt x="1049089" y="2187553"/>
                  </a:lnTo>
                  <a:lnTo>
                    <a:pt x="1045750" y="2176623"/>
                  </a:lnTo>
                  <a:lnTo>
                    <a:pt x="1038784" y="2166132"/>
                  </a:lnTo>
                  <a:lnTo>
                    <a:pt x="1032182" y="2132204"/>
                  </a:lnTo>
                  <a:lnTo>
                    <a:pt x="1029077" y="2122041"/>
                  </a:lnTo>
                  <a:cubicBezTo>
                    <a:pt x="1029077" y="2089685"/>
                    <a:pt x="1042192" y="2060392"/>
                    <a:pt x="1063396" y="2039188"/>
                  </a:cubicBezTo>
                  <a:lnTo>
                    <a:pt x="1066851" y="2036859"/>
                  </a:lnTo>
                  <a:lnTo>
                    <a:pt x="1426642" y="1677067"/>
                  </a:lnTo>
                  <a:cubicBezTo>
                    <a:pt x="1472401" y="1631308"/>
                    <a:pt x="1546590" y="1631308"/>
                    <a:pt x="1592348" y="1677067"/>
                  </a:cubicBezTo>
                  <a:cubicBezTo>
                    <a:pt x="1638107" y="1722825"/>
                    <a:pt x="1638107" y="1797015"/>
                    <a:pt x="1592348" y="1842773"/>
                  </a:cubicBezTo>
                  <a:lnTo>
                    <a:pt x="1430252" y="2004869"/>
                  </a:lnTo>
                  <a:lnTo>
                    <a:pt x="2743390" y="2004869"/>
                  </a:lnTo>
                  <a:cubicBezTo>
                    <a:pt x="2808102" y="2004869"/>
                    <a:pt x="2860562" y="2057329"/>
                    <a:pt x="2860562" y="2122041"/>
                  </a:cubicBezTo>
                  <a:close/>
                  <a:moveTo>
                    <a:pt x="2860562" y="1107371"/>
                  </a:moveTo>
                  <a:cubicBezTo>
                    <a:pt x="2860562" y="1172083"/>
                    <a:pt x="2808102" y="1224543"/>
                    <a:pt x="2743390" y="1224543"/>
                  </a:cubicBezTo>
                  <a:lnTo>
                    <a:pt x="1430254" y="1224543"/>
                  </a:lnTo>
                  <a:lnTo>
                    <a:pt x="1592348" y="1386637"/>
                  </a:lnTo>
                  <a:cubicBezTo>
                    <a:pt x="1638107" y="1432395"/>
                    <a:pt x="1638107" y="1506585"/>
                    <a:pt x="1592348" y="1552343"/>
                  </a:cubicBezTo>
                  <a:cubicBezTo>
                    <a:pt x="1546590" y="1598102"/>
                    <a:pt x="1472401" y="1598102"/>
                    <a:pt x="1426642" y="1552343"/>
                  </a:cubicBezTo>
                  <a:lnTo>
                    <a:pt x="1072656" y="1198356"/>
                  </a:lnTo>
                  <a:lnTo>
                    <a:pt x="1071717" y="1197787"/>
                  </a:lnTo>
                  <a:lnTo>
                    <a:pt x="1068045" y="1193746"/>
                  </a:lnTo>
                  <a:lnTo>
                    <a:pt x="1064523" y="1190223"/>
                  </a:lnTo>
                  <a:lnTo>
                    <a:pt x="1063649" y="1188908"/>
                  </a:lnTo>
                  <a:lnTo>
                    <a:pt x="1049089" y="1172883"/>
                  </a:lnTo>
                  <a:lnTo>
                    <a:pt x="1045750" y="1161953"/>
                  </a:lnTo>
                  <a:lnTo>
                    <a:pt x="1038784" y="1151462"/>
                  </a:lnTo>
                  <a:lnTo>
                    <a:pt x="1032182" y="1117534"/>
                  </a:lnTo>
                  <a:lnTo>
                    <a:pt x="1029077" y="1107371"/>
                  </a:lnTo>
                  <a:cubicBezTo>
                    <a:pt x="1029077" y="1075015"/>
                    <a:pt x="1042192" y="1045722"/>
                    <a:pt x="1063396" y="1024518"/>
                  </a:cubicBezTo>
                  <a:lnTo>
                    <a:pt x="1066851" y="1022189"/>
                  </a:lnTo>
                  <a:lnTo>
                    <a:pt x="1426642" y="662397"/>
                  </a:lnTo>
                  <a:cubicBezTo>
                    <a:pt x="1472401" y="616638"/>
                    <a:pt x="1546590" y="616638"/>
                    <a:pt x="1592348" y="662397"/>
                  </a:cubicBezTo>
                  <a:cubicBezTo>
                    <a:pt x="1638107" y="708155"/>
                    <a:pt x="1638107" y="782345"/>
                    <a:pt x="1592348" y="828103"/>
                  </a:cubicBezTo>
                  <a:lnTo>
                    <a:pt x="1430252" y="990199"/>
                  </a:lnTo>
                  <a:lnTo>
                    <a:pt x="2743390" y="990199"/>
                  </a:lnTo>
                  <a:cubicBezTo>
                    <a:pt x="2808102" y="990199"/>
                    <a:pt x="2860562" y="1042659"/>
                    <a:pt x="2860562" y="1107371"/>
                  </a:cubicBezTo>
                  <a:close/>
                  <a:moveTo>
                    <a:pt x="3334103" y="1052131"/>
                  </a:moveTo>
                  <a:lnTo>
                    <a:pt x="3334103" y="3191951"/>
                  </a:lnTo>
                  <a:cubicBezTo>
                    <a:pt x="3334103" y="3256663"/>
                    <a:pt x="3281643" y="3309123"/>
                    <a:pt x="3216931" y="3309123"/>
                  </a:cubicBezTo>
                  <a:cubicBezTo>
                    <a:pt x="3152219" y="3309123"/>
                    <a:pt x="3099759" y="3256663"/>
                    <a:pt x="3099759" y="3191951"/>
                  </a:cubicBezTo>
                  <a:lnTo>
                    <a:pt x="3099759" y="1052131"/>
                  </a:lnTo>
                  <a:cubicBezTo>
                    <a:pt x="3099759" y="987419"/>
                    <a:pt x="3152219" y="934959"/>
                    <a:pt x="3216931" y="934959"/>
                  </a:cubicBezTo>
                  <a:cubicBezTo>
                    <a:pt x="3281643" y="934959"/>
                    <a:pt x="3334103" y="987419"/>
                    <a:pt x="3334103" y="1052131"/>
                  </a:cubicBezTo>
                  <a:close/>
                  <a:moveTo>
                    <a:pt x="3984408" y="2125436"/>
                  </a:moveTo>
                  <a:cubicBezTo>
                    <a:pt x="3984408" y="1098754"/>
                    <a:pt x="3152119" y="266464"/>
                    <a:pt x="2125437" y="266463"/>
                  </a:cubicBezTo>
                  <a:cubicBezTo>
                    <a:pt x="1098755" y="266463"/>
                    <a:pt x="266465" y="1098753"/>
                    <a:pt x="266465" y="2125435"/>
                  </a:cubicBezTo>
                  <a:cubicBezTo>
                    <a:pt x="266464" y="3152118"/>
                    <a:pt x="1098755" y="3984408"/>
                    <a:pt x="2125437" y="3984408"/>
                  </a:cubicBezTo>
                  <a:cubicBezTo>
                    <a:pt x="3152119" y="3984408"/>
                    <a:pt x="3984408" y="3152118"/>
                    <a:pt x="3984408" y="2125436"/>
                  </a:cubicBezTo>
                  <a:close/>
                  <a:moveTo>
                    <a:pt x="4250871" y="2125437"/>
                  </a:moveTo>
                  <a:cubicBezTo>
                    <a:pt x="4250871" y="3299283"/>
                    <a:pt x="3299282" y="4250873"/>
                    <a:pt x="2125436" y="4250873"/>
                  </a:cubicBezTo>
                  <a:cubicBezTo>
                    <a:pt x="951589" y="4250873"/>
                    <a:pt x="-1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ubicBezTo>
                    <a:pt x="3299282" y="1"/>
                    <a:pt x="4250871" y="951591"/>
                    <a:pt x="4250871" y="2125437"/>
                  </a:cubicBezTo>
                  <a:close/>
                </a:path>
              </a:pathLst>
            </a:cu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7" name="Agrupar 6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200-000043000000}"/>
              </a:ext>
            </a:extLst>
          </xdr:cNvPr>
          <xdr:cNvGrpSpPr/>
        </xdr:nvGrpSpPr>
        <xdr:grpSpPr>
          <a:xfrm>
            <a:off x="8233479" y="123825"/>
            <a:ext cx="1268332" cy="243701"/>
            <a:chOff x="7056922" y="88944"/>
            <a:chExt cx="1271770" cy="243701"/>
          </a:xfrm>
        </xdr:grpSpPr>
        <xdr:sp macro="" textlink="">
          <xdr:nvSpPr>
            <xdr:cNvPr id="81" name="Retângulo: Cantos Arredondados 80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00000000-0008-0000-0200-000051000000}"/>
                </a:ext>
              </a:extLst>
            </xdr:cNvPr>
            <xdr:cNvSpPr/>
          </xdr:nvSpPr>
          <xdr:spPr>
            <a:xfrm>
              <a:off x="7056922" y="88944"/>
              <a:ext cx="127177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Combinações</a:t>
              </a:r>
            </a:p>
          </xdr:txBody>
        </xdr:sp>
        <xdr:sp macro="" textlink="">
          <xdr:nvSpPr>
            <xdr:cNvPr id="82" name="Forma Livre: Forma 81">
              <a:extLst>
                <a:ext uri="{FF2B5EF4-FFF2-40B4-BE49-F238E27FC236}">
                  <a16:creationId xmlns:a16="http://schemas.microsoft.com/office/drawing/2014/main" id="{00000000-0008-0000-0200-000052000000}"/>
                </a:ext>
              </a:extLst>
            </xdr:cNvPr>
            <xdr:cNvSpPr>
              <a:spLocks noChangeAspect="1"/>
            </xdr:cNvSpPr>
          </xdr:nvSpPr>
          <xdr:spPr>
            <a:xfrm>
              <a:off x="7119137" y="117836"/>
              <a:ext cx="185995" cy="180000"/>
            </a:xfrm>
            <a:custGeom>
              <a:avLst/>
              <a:gdLst>
                <a:gd name="connsiteX0" fmla="*/ 2278531 w 3569686"/>
                <a:gd name="connsiteY0" fmla="*/ 2328860 h 3454629"/>
                <a:gd name="connsiteX1" fmla="*/ 2194294 w 3569686"/>
                <a:gd name="connsiteY1" fmla="*/ 2363873 h 3454629"/>
                <a:gd name="connsiteX2" fmla="*/ 1775189 w 3569686"/>
                <a:gd name="connsiteY2" fmla="*/ 2437837 h 3454629"/>
                <a:gd name="connsiteX3" fmla="*/ 1300731 w 3569686"/>
                <a:gd name="connsiteY3" fmla="*/ 2342048 h 3454629"/>
                <a:gd name="connsiteX4" fmla="*/ 1289766 w 3569686"/>
                <a:gd name="connsiteY4" fmla="*/ 2336766 h 3454629"/>
                <a:gd name="connsiteX5" fmla="*/ 1290167 w 3569686"/>
                <a:gd name="connsiteY5" fmla="*/ 2344713 h 3454629"/>
                <a:gd name="connsiteX6" fmla="*/ 1633943 w 3569686"/>
                <a:gd name="connsiteY6" fmla="*/ 3024860 h 3454629"/>
                <a:gd name="connsiteX7" fmla="*/ 1767728 w 3569686"/>
                <a:gd name="connsiteY7" fmla="*/ 3126135 h 3454629"/>
                <a:gd name="connsiteX8" fmla="*/ 1814987 w 3569686"/>
                <a:gd name="connsiteY8" fmla="*/ 3097424 h 3454629"/>
                <a:gd name="connsiteX9" fmla="*/ 2263363 w 3569686"/>
                <a:gd name="connsiteY9" fmla="*/ 2428251 h 3454629"/>
                <a:gd name="connsiteX10" fmla="*/ 2982129 w 3569686"/>
                <a:gd name="connsiteY10" fmla="*/ 1380800 h 3454629"/>
                <a:gd name="connsiteX11" fmla="*/ 2969344 w 3569686"/>
                <a:gd name="connsiteY11" fmla="*/ 1464573 h 3454629"/>
                <a:gd name="connsiteX12" fmla="*/ 2550535 w 3569686"/>
                <a:gd name="connsiteY12" fmla="*/ 2159495 h 3454629"/>
                <a:gd name="connsiteX13" fmla="*/ 2436571 w 3569686"/>
                <a:gd name="connsiteY13" fmla="*/ 2238469 h 3454629"/>
                <a:gd name="connsiteX14" fmla="*/ 2431544 w 3569686"/>
                <a:gd name="connsiteY14" fmla="*/ 2338022 h 3454629"/>
                <a:gd name="connsiteX15" fmla="*/ 1994264 w 3569686"/>
                <a:gd name="connsiteY15" fmla="*/ 3153971 h 3454629"/>
                <a:gd name="connsiteX16" fmla="*/ 1919588 w 3569686"/>
                <a:gd name="connsiteY16" fmla="*/ 3209813 h 3454629"/>
                <a:gd name="connsiteX17" fmla="*/ 1959854 w 3569686"/>
                <a:gd name="connsiteY17" fmla="*/ 3227866 h 3454629"/>
                <a:gd name="connsiteX18" fmla="*/ 2350767 w 3569686"/>
                <a:gd name="connsiteY18" fmla="*/ 3301814 h 3454629"/>
                <a:gd name="connsiteX19" fmla="*/ 3416871 w 3569686"/>
                <a:gd name="connsiteY19" fmla="*/ 2235710 h 3454629"/>
                <a:gd name="connsiteX20" fmla="*/ 3104616 w 3569686"/>
                <a:gd name="connsiteY20" fmla="*/ 1481861 h 3454629"/>
                <a:gd name="connsiteX21" fmla="*/ 565923 w 3569686"/>
                <a:gd name="connsiteY21" fmla="*/ 1371932 h 3454629"/>
                <a:gd name="connsiteX22" fmla="*/ 540777 w 3569686"/>
                <a:gd name="connsiteY22" fmla="*/ 1390737 h 3454629"/>
                <a:gd name="connsiteX23" fmla="*/ 152814 w 3569686"/>
                <a:gd name="connsiteY23" fmla="*/ 2213394 h 3454629"/>
                <a:gd name="connsiteX24" fmla="*/ 1218918 w 3569686"/>
                <a:gd name="connsiteY24" fmla="*/ 3279498 h 3454629"/>
                <a:gd name="connsiteX25" fmla="*/ 1535945 w 3569686"/>
                <a:gd name="connsiteY25" fmla="*/ 3231568 h 3454629"/>
                <a:gd name="connsiteX26" fmla="*/ 1610884 w 3569686"/>
                <a:gd name="connsiteY26" fmla="*/ 3204140 h 3454629"/>
                <a:gd name="connsiteX27" fmla="*/ 1531194 w 3569686"/>
                <a:gd name="connsiteY27" fmla="*/ 3137976 h 3454629"/>
                <a:gd name="connsiteX28" fmla="*/ 1138142 w 3569686"/>
                <a:gd name="connsiteY28" fmla="*/ 2360338 h 3454629"/>
                <a:gd name="connsiteX29" fmla="*/ 1132742 w 3569686"/>
                <a:gd name="connsiteY29" fmla="*/ 2253396 h 3454629"/>
                <a:gd name="connsiteX30" fmla="*/ 1093680 w 3569686"/>
                <a:gd name="connsiteY30" fmla="*/ 2229665 h 3454629"/>
                <a:gd name="connsiteX31" fmla="*/ 566064 w 3569686"/>
                <a:gd name="connsiteY31" fmla="*/ 1374164 h 3454629"/>
                <a:gd name="connsiteX32" fmla="*/ 1802664 w 3569686"/>
                <a:gd name="connsiteY32" fmla="*/ 1321878 h 3454629"/>
                <a:gd name="connsiteX33" fmla="*/ 1787007 w 3569686"/>
                <a:gd name="connsiteY33" fmla="*/ 1330692 h 3454629"/>
                <a:gd name="connsiteX34" fmla="*/ 1290167 w 3569686"/>
                <a:gd name="connsiteY34" fmla="*/ 2126707 h 3454629"/>
                <a:gd name="connsiteX35" fmla="*/ 1288156 w 3569686"/>
                <a:gd name="connsiteY35" fmla="*/ 2166531 h 3454629"/>
                <a:gd name="connsiteX36" fmla="*/ 1360213 w 3569686"/>
                <a:gd name="connsiteY36" fmla="*/ 2201242 h 3454629"/>
                <a:gd name="connsiteX37" fmla="*/ 1775189 w 3569686"/>
                <a:gd name="connsiteY37" fmla="*/ 2285022 h 3454629"/>
                <a:gd name="connsiteX38" fmla="*/ 2254778 w 3569686"/>
                <a:gd name="connsiteY38" fmla="*/ 2171317 h 3454629"/>
                <a:gd name="connsiteX39" fmla="*/ 2282120 w 3569686"/>
                <a:gd name="connsiteY39" fmla="*/ 2155926 h 3454629"/>
                <a:gd name="connsiteX40" fmla="*/ 2279518 w 3569686"/>
                <a:gd name="connsiteY40" fmla="*/ 2104391 h 3454629"/>
                <a:gd name="connsiteX41" fmla="*/ 1814987 w 3569686"/>
                <a:gd name="connsiteY41" fmla="*/ 1329364 h 3454629"/>
                <a:gd name="connsiteX42" fmla="*/ 2350767 w 3569686"/>
                <a:gd name="connsiteY42" fmla="*/ 1169606 h 3454629"/>
                <a:gd name="connsiteX43" fmla="*/ 1959854 w 3569686"/>
                <a:gd name="connsiteY43" fmla="*/ 1243555 h 3454629"/>
                <a:gd name="connsiteX44" fmla="*/ 1956901 w 3569686"/>
                <a:gd name="connsiteY44" fmla="*/ 1244879 h 3454629"/>
                <a:gd name="connsiteX45" fmla="*/ 1994264 w 3569686"/>
                <a:gd name="connsiteY45" fmla="*/ 1272818 h 3454629"/>
                <a:gd name="connsiteX46" fmla="*/ 2413073 w 3569686"/>
                <a:gd name="connsiteY46" fmla="*/ 1967740 h 3454629"/>
                <a:gd name="connsiteX47" fmla="*/ 2426766 w 3569686"/>
                <a:gd name="connsiteY47" fmla="*/ 2057460 h 3454629"/>
                <a:gd name="connsiteX48" fmla="*/ 2492013 w 3569686"/>
                <a:gd name="connsiteY48" fmla="*/ 2008067 h 3454629"/>
                <a:gd name="connsiteX49" fmla="*/ 2835789 w 3569686"/>
                <a:gd name="connsiteY49" fmla="*/ 1327921 h 3454629"/>
                <a:gd name="connsiteX50" fmla="*/ 2837800 w 3569686"/>
                <a:gd name="connsiteY50" fmla="*/ 1288098 h 3454629"/>
                <a:gd name="connsiteX51" fmla="*/ 2765743 w 3569686"/>
                <a:gd name="connsiteY51" fmla="*/ 1253386 h 3454629"/>
                <a:gd name="connsiteX52" fmla="*/ 2350767 w 3569686"/>
                <a:gd name="connsiteY52" fmla="*/ 1169606 h 3454629"/>
                <a:gd name="connsiteX53" fmla="*/ 1218918 w 3569686"/>
                <a:gd name="connsiteY53" fmla="*/ 1147290 h 3454629"/>
                <a:gd name="connsiteX54" fmla="*/ 803942 w 3569686"/>
                <a:gd name="connsiteY54" fmla="*/ 1231070 h 3454629"/>
                <a:gd name="connsiteX55" fmla="*/ 711937 w 3569686"/>
                <a:gd name="connsiteY55" fmla="*/ 1275391 h 3454629"/>
                <a:gd name="connsiteX56" fmla="*/ 714589 w 3569686"/>
                <a:gd name="connsiteY56" fmla="*/ 1327921 h 3454629"/>
                <a:gd name="connsiteX57" fmla="*/ 1021340 w 3569686"/>
                <a:gd name="connsiteY57" fmla="*/ 1972767 h 3454629"/>
                <a:gd name="connsiteX58" fmla="*/ 1143828 w 3569686"/>
                <a:gd name="connsiteY58" fmla="*/ 2073829 h 3454629"/>
                <a:gd name="connsiteX59" fmla="*/ 1156613 w 3569686"/>
                <a:gd name="connsiteY59" fmla="*/ 1990056 h 3454629"/>
                <a:gd name="connsiteX60" fmla="*/ 1575422 w 3569686"/>
                <a:gd name="connsiteY60" fmla="*/ 1295134 h 3454629"/>
                <a:gd name="connsiteX61" fmla="*/ 1653937 w 3569686"/>
                <a:gd name="connsiteY61" fmla="*/ 1240725 h 3454629"/>
                <a:gd name="connsiteX62" fmla="*/ 1633894 w 3569686"/>
                <a:gd name="connsiteY62" fmla="*/ 1231070 h 3454629"/>
                <a:gd name="connsiteX63" fmla="*/ 1218918 w 3569686"/>
                <a:gd name="connsiteY63" fmla="*/ 1147290 h 3454629"/>
                <a:gd name="connsiteX64" fmla="*/ 1775189 w 3569686"/>
                <a:gd name="connsiteY64" fmla="*/ 152814 h 3454629"/>
                <a:gd name="connsiteX65" fmla="*/ 730744 w 3569686"/>
                <a:gd name="connsiteY65" fmla="*/ 1004061 h 3454629"/>
                <a:gd name="connsiteX66" fmla="*/ 715456 w 3569686"/>
                <a:gd name="connsiteY66" fmla="*/ 1104237 h 3454629"/>
                <a:gd name="connsiteX67" fmla="*/ 744460 w 3569686"/>
                <a:gd name="connsiteY67" fmla="*/ 1090265 h 3454629"/>
                <a:gd name="connsiteX68" fmla="*/ 1218919 w 3569686"/>
                <a:gd name="connsiteY68" fmla="*/ 994476 h 3454629"/>
                <a:gd name="connsiteX69" fmla="*/ 1799928 w 3569686"/>
                <a:gd name="connsiteY69" fmla="*/ 1141593 h 3454629"/>
                <a:gd name="connsiteX70" fmla="*/ 1806707 w 3569686"/>
                <a:gd name="connsiteY70" fmla="*/ 1145712 h 3454629"/>
                <a:gd name="connsiteX71" fmla="*/ 1835682 w 3569686"/>
                <a:gd name="connsiteY71" fmla="*/ 1130650 h 3454629"/>
                <a:gd name="connsiteX72" fmla="*/ 2350767 w 3569686"/>
                <a:gd name="connsiteY72" fmla="*/ 1016792 h 3454629"/>
                <a:gd name="connsiteX73" fmla="*/ 2825226 w 3569686"/>
                <a:gd name="connsiteY73" fmla="*/ 1112581 h 3454629"/>
                <a:gd name="connsiteX74" fmla="*/ 2836190 w 3569686"/>
                <a:gd name="connsiteY74" fmla="*/ 1117863 h 3454629"/>
                <a:gd name="connsiteX75" fmla="*/ 2835789 w 3569686"/>
                <a:gd name="connsiteY75" fmla="*/ 1109915 h 3454629"/>
                <a:gd name="connsiteX76" fmla="*/ 1775189 w 3569686"/>
                <a:gd name="connsiteY76" fmla="*/ 152814 h 3454629"/>
                <a:gd name="connsiteX77" fmla="*/ 1775189 w 3569686"/>
                <a:gd name="connsiteY77" fmla="*/ 0 h 3454629"/>
                <a:gd name="connsiteX78" fmla="*/ 2987815 w 3569686"/>
                <a:gd name="connsiteY78" fmla="*/ 1094291 h 3454629"/>
                <a:gd name="connsiteX79" fmla="*/ 2993215 w 3569686"/>
                <a:gd name="connsiteY79" fmla="*/ 1201234 h 3454629"/>
                <a:gd name="connsiteX80" fmla="*/ 3032277 w 3569686"/>
                <a:gd name="connsiteY80" fmla="*/ 1224964 h 3454629"/>
                <a:gd name="connsiteX81" fmla="*/ 3569686 w 3569686"/>
                <a:gd name="connsiteY81" fmla="*/ 2235711 h 3454629"/>
                <a:gd name="connsiteX82" fmla="*/ 2350767 w 3569686"/>
                <a:gd name="connsiteY82" fmla="*/ 3454629 h 3454629"/>
                <a:gd name="connsiteX83" fmla="*/ 1802434 w 3569686"/>
                <a:gd name="connsiteY83" fmla="*/ 3324626 h 3454629"/>
                <a:gd name="connsiteX84" fmla="*/ 1763533 w 3569686"/>
                <a:gd name="connsiteY84" fmla="*/ 3302729 h 3454629"/>
                <a:gd name="connsiteX85" fmla="*/ 1693377 w 3569686"/>
                <a:gd name="connsiteY85" fmla="*/ 3336525 h 3454629"/>
                <a:gd name="connsiteX86" fmla="*/ 1218919 w 3569686"/>
                <a:gd name="connsiteY86" fmla="*/ 3432313 h 3454629"/>
                <a:gd name="connsiteX87" fmla="*/ 0 w 3569686"/>
                <a:gd name="connsiteY87" fmla="*/ 2213395 h 3454629"/>
                <a:gd name="connsiteX88" fmla="*/ 537410 w 3569686"/>
                <a:gd name="connsiteY88" fmla="*/ 1202648 h 3454629"/>
                <a:gd name="connsiteX89" fmla="*/ 557716 w 3569686"/>
                <a:gd name="connsiteY89" fmla="*/ 1190312 h 3454629"/>
                <a:gd name="connsiteX90" fmla="*/ 562564 w 3569686"/>
                <a:gd name="connsiteY90" fmla="*/ 1094291 h 3454629"/>
                <a:gd name="connsiteX91" fmla="*/ 1775189 w 3569686"/>
                <a:gd name="connsiteY91" fmla="*/ 0 h 345462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</a:cxnLst>
              <a:rect l="l" t="t" r="r" b="b"/>
              <a:pathLst>
                <a:path w="3569686" h="3454629">
                  <a:moveTo>
                    <a:pt x="2278531" y="2328860"/>
                  </a:moveTo>
                  <a:lnTo>
                    <a:pt x="2194294" y="2363873"/>
                  </a:lnTo>
                  <a:cubicBezTo>
                    <a:pt x="2063611" y="2411723"/>
                    <a:pt x="1922450" y="2437837"/>
                    <a:pt x="1775189" y="2437837"/>
                  </a:cubicBezTo>
                  <a:cubicBezTo>
                    <a:pt x="1606892" y="2437837"/>
                    <a:pt x="1446560" y="2403729"/>
                    <a:pt x="1300731" y="2342048"/>
                  </a:cubicBezTo>
                  <a:lnTo>
                    <a:pt x="1289766" y="2336766"/>
                  </a:lnTo>
                  <a:lnTo>
                    <a:pt x="1290167" y="2344713"/>
                  </a:lnTo>
                  <a:cubicBezTo>
                    <a:pt x="1317465" y="2613508"/>
                    <a:pt x="1444616" y="2852783"/>
                    <a:pt x="1633943" y="3024860"/>
                  </a:cubicBezTo>
                  <a:lnTo>
                    <a:pt x="1767728" y="3126135"/>
                  </a:lnTo>
                  <a:lnTo>
                    <a:pt x="1814987" y="3097424"/>
                  </a:lnTo>
                  <a:cubicBezTo>
                    <a:pt x="2041855" y="2944155"/>
                    <a:pt x="2206557" y="2705855"/>
                    <a:pt x="2263363" y="2428251"/>
                  </a:cubicBezTo>
                  <a:close/>
                  <a:moveTo>
                    <a:pt x="2982129" y="1380800"/>
                  </a:moveTo>
                  <a:lnTo>
                    <a:pt x="2969344" y="1464573"/>
                  </a:lnTo>
                  <a:cubicBezTo>
                    <a:pt x="2912514" y="1742294"/>
                    <a:pt x="2761236" y="1985609"/>
                    <a:pt x="2550535" y="2159495"/>
                  </a:cubicBezTo>
                  <a:lnTo>
                    <a:pt x="2436571" y="2238469"/>
                  </a:lnTo>
                  <a:lnTo>
                    <a:pt x="2431544" y="2338022"/>
                  </a:lnTo>
                  <a:cubicBezTo>
                    <a:pt x="2398253" y="2665834"/>
                    <a:pt x="2235065" y="2955245"/>
                    <a:pt x="1994264" y="3153971"/>
                  </a:cubicBezTo>
                  <a:lnTo>
                    <a:pt x="1919588" y="3209813"/>
                  </a:lnTo>
                  <a:lnTo>
                    <a:pt x="1959854" y="3227866"/>
                  </a:lnTo>
                  <a:cubicBezTo>
                    <a:pt x="2080894" y="3275595"/>
                    <a:pt x="2212769" y="3301814"/>
                    <a:pt x="2350767" y="3301814"/>
                  </a:cubicBezTo>
                  <a:cubicBezTo>
                    <a:pt x="2939560" y="3301814"/>
                    <a:pt x="3416871" y="2824503"/>
                    <a:pt x="3416871" y="2235710"/>
                  </a:cubicBezTo>
                  <a:cubicBezTo>
                    <a:pt x="3416871" y="1941314"/>
                    <a:pt x="3297543" y="1674788"/>
                    <a:pt x="3104616" y="1481861"/>
                  </a:cubicBezTo>
                  <a:close/>
                  <a:moveTo>
                    <a:pt x="565923" y="1371932"/>
                  </a:moveTo>
                  <a:lnTo>
                    <a:pt x="540777" y="1390737"/>
                  </a:lnTo>
                  <a:cubicBezTo>
                    <a:pt x="303838" y="1586276"/>
                    <a:pt x="152814" y="1882198"/>
                    <a:pt x="152814" y="2213394"/>
                  </a:cubicBezTo>
                  <a:cubicBezTo>
                    <a:pt x="152814" y="2802187"/>
                    <a:pt x="630125" y="3279498"/>
                    <a:pt x="1218918" y="3279498"/>
                  </a:cubicBezTo>
                  <a:cubicBezTo>
                    <a:pt x="1329317" y="3279498"/>
                    <a:pt x="1435796" y="3262718"/>
                    <a:pt x="1535945" y="3231568"/>
                  </a:cubicBezTo>
                  <a:lnTo>
                    <a:pt x="1610884" y="3204140"/>
                  </a:lnTo>
                  <a:lnTo>
                    <a:pt x="1531194" y="3137976"/>
                  </a:lnTo>
                  <a:cubicBezTo>
                    <a:pt x="1314730" y="2941234"/>
                    <a:pt x="1169353" y="2667662"/>
                    <a:pt x="1138142" y="2360338"/>
                  </a:cubicBezTo>
                  <a:lnTo>
                    <a:pt x="1132742" y="2253396"/>
                  </a:lnTo>
                  <a:lnTo>
                    <a:pt x="1093680" y="2229665"/>
                  </a:lnTo>
                  <a:cubicBezTo>
                    <a:pt x="809975" y="2037998"/>
                    <a:pt x="611300" y="1730027"/>
                    <a:pt x="566064" y="1374164"/>
                  </a:cubicBezTo>
                  <a:close/>
                  <a:moveTo>
                    <a:pt x="1802664" y="1321878"/>
                  </a:moveTo>
                  <a:lnTo>
                    <a:pt x="1787007" y="1330692"/>
                  </a:lnTo>
                  <a:cubicBezTo>
                    <a:pt x="1514433" y="1500845"/>
                    <a:pt x="1324289" y="1790714"/>
                    <a:pt x="1290167" y="2126707"/>
                  </a:cubicBezTo>
                  <a:lnTo>
                    <a:pt x="1288156" y="2166531"/>
                  </a:lnTo>
                  <a:lnTo>
                    <a:pt x="1360213" y="2201242"/>
                  </a:lnTo>
                  <a:cubicBezTo>
                    <a:pt x="1487760" y="2255190"/>
                    <a:pt x="1627991" y="2285022"/>
                    <a:pt x="1775189" y="2285022"/>
                  </a:cubicBezTo>
                  <a:cubicBezTo>
                    <a:pt x="1947687" y="2285022"/>
                    <a:pt x="2110616" y="2244054"/>
                    <a:pt x="2254778" y="2171317"/>
                  </a:cubicBezTo>
                  <a:lnTo>
                    <a:pt x="2282120" y="2155926"/>
                  </a:lnTo>
                  <a:lnTo>
                    <a:pt x="2279518" y="2104391"/>
                  </a:lnTo>
                  <a:cubicBezTo>
                    <a:pt x="2246761" y="1781838"/>
                    <a:pt x="2070214" y="1501792"/>
                    <a:pt x="1814987" y="1329364"/>
                  </a:cubicBezTo>
                  <a:close/>
                  <a:moveTo>
                    <a:pt x="2350767" y="1169606"/>
                  </a:moveTo>
                  <a:cubicBezTo>
                    <a:pt x="2212769" y="1169606"/>
                    <a:pt x="2080894" y="1195826"/>
                    <a:pt x="1959854" y="1243555"/>
                  </a:cubicBezTo>
                  <a:lnTo>
                    <a:pt x="1956901" y="1244879"/>
                  </a:lnTo>
                  <a:lnTo>
                    <a:pt x="1994264" y="1272818"/>
                  </a:lnTo>
                  <a:cubicBezTo>
                    <a:pt x="2204965" y="1446704"/>
                    <a:pt x="2356243" y="1690020"/>
                    <a:pt x="2413073" y="1967740"/>
                  </a:cubicBezTo>
                  <a:lnTo>
                    <a:pt x="2426766" y="2057460"/>
                  </a:lnTo>
                  <a:lnTo>
                    <a:pt x="2492013" y="2008067"/>
                  </a:lnTo>
                  <a:cubicBezTo>
                    <a:pt x="2681340" y="1835991"/>
                    <a:pt x="2808492" y="1596716"/>
                    <a:pt x="2835789" y="1327921"/>
                  </a:cubicBezTo>
                  <a:lnTo>
                    <a:pt x="2837800" y="1288098"/>
                  </a:lnTo>
                  <a:lnTo>
                    <a:pt x="2765743" y="1253386"/>
                  </a:lnTo>
                  <a:cubicBezTo>
                    <a:pt x="2638196" y="1199438"/>
                    <a:pt x="2497965" y="1169606"/>
                    <a:pt x="2350767" y="1169606"/>
                  </a:cubicBezTo>
                  <a:close/>
                  <a:moveTo>
                    <a:pt x="1218918" y="1147290"/>
                  </a:moveTo>
                  <a:cubicBezTo>
                    <a:pt x="1071720" y="1147290"/>
                    <a:pt x="931489" y="1177122"/>
                    <a:pt x="803942" y="1231070"/>
                  </a:cubicBezTo>
                  <a:lnTo>
                    <a:pt x="711937" y="1275391"/>
                  </a:lnTo>
                  <a:lnTo>
                    <a:pt x="714589" y="1327921"/>
                  </a:lnTo>
                  <a:cubicBezTo>
                    <a:pt x="740067" y="1578796"/>
                    <a:pt x="852529" y="1803956"/>
                    <a:pt x="1021340" y="1972767"/>
                  </a:cubicBezTo>
                  <a:lnTo>
                    <a:pt x="1143828" y="2073829"/>
                  </a:lnTo>
                  <a:lnTo>
                    <a:pt x="1156613" y="1990056"/>
                  </a:lnTo>
                  <a:cubicBezTo>
                    <a:pt x="1213443" y="1712336"/>
                    <a:pt x="1364721" y="1469020"/>
                    <a:pt x="1575422" y="1295134"/>
                  </a:cubicBezTo>
                  <a:lnTo>
                    <a:pt x="1653937" y="1240725"/>
                  </a:lnTo>
                  <a:lnTo>
                    <a:pt x="1633894" y="1231070"/>
                  </a:lnTo>
                  <a:cubicBezTo>
                    <a:pt x="1506347" y="1177122"/>
                    <a:pt x="1366116" y="1147290"/>
                    <a:pt x="1218918" y="1147290"/>
                  </a:cubicBezTo>
                  <a:close/>
                  <a:moveTo>
                    <a:pt x="1775189" y="152814"/>
                  </a:moveTo>
                  <a:cubicBezTo>
                    <a:pt x="1259995" y="152814"/>
                    <a:pt x="830155" y="518255"/>
                    <a:pt x="730744" y="1004061"/>
                  </a:cubicBezTo>
                  <a:lnTo>
                    <a:pt x="715456" y="1104237"/>
                  </a:lnTo>
                  <a:lnTo>
                    <a:pt x="744460" y="1090265"/>
                  </a:lnTo>
                  <a:cubicBezTo>
                    <a:pt x="890290" y="1028584"/>
                    <a:pt x="1050621" y="994476"/>
                    <a:pt x="1218919" y="994476"/>
                  </a:cubicBezTo>
                  <a:cubicBezTo>
                    <a:pt x="1429291" y="994476"/>
                    <a:pt x="1627215" y="1047770"/>
                    <a:pt x="1799928" y="1141593"/>
                  </a:cubicBezTo>
                  <a:lnTo>
                    <a:pt x="1806707" y="1145712"/>
                  </a:lnTo>
                  <a:lnTo>
                    <a:pt x="1835682" y="1130650"/>
                  </a:lnTo>
                  <a:cubicBezTo>
                    <a:pt x="1992146" y="1057595"/>
                    <a:pt x="2166692" y="1016792"/>
                    <a:pt x="2350767" y="1016792"/>
                  </a:cubicBezTo>
                  <a:cubicBezTo>
                    <a:pt x="2519065" y="1016792"/>
                    <a:pt x="2679396" y="1050900"/>
                    <a:pt x="2825226" y="1112581"/>
                  </a:cubicBezTo>
                  <a:lnTo>
                    <a:pt x="2836190" y="1117863"/>
                  </a:lnTo>
                  <a:lnTo>
                    <a:pt x="2835789" y="1109915"/>
                  </a:lnTo>
                  <a:cubicBezTo>
                    <a:pt x="2781194" y="572326"/>
                    <a:pt x="2327182" y="152814"/>
                    <a:pt x="1775189" y="152814"/>
                  </a:cubicBezTo>
                  <a:close/>
                  <a:moveTo>
                    <a:pt x="1775189" y="0"/>
                  </a:moveTo>
                  <a:cubicBezTo>
                    <a:pt x="2406306" y="0"/>
                    <a:pt x="2925394" y="479644"/>
                    <a:pt x="2987815" y="1094291"/>
                  </a:cubicBezTo>
                  <a:lnTo>
                    <a:pt x="2993215" y="1201234"/>
                  </a:lnTo>
                  <a:lnTo>
                    <a:pt x="3032277" y="1224964"/>
                  </a:lnTo>
                  <a:cubicBezTo>
                    <a:pt x="3356511" y="1444013"/>
                    <a:pt x="3569686" y="1814967"/>
                    <a:pt x="3569686" y="2235711"/>
                  </a:cubicBezTo>
                  <a:cubicBezTo>
                    <a:pt x="3569686" y="2908901"/>
                    <a:pt x="3023958" y="3454629"/>
                    <a:pt x="2350767" y="3454629"/>
                  </a:cubicBezTo>
                  <a:cubicBezTo>
                    <a:pt x="2153543" y="3454629"/>
                    <a:pt x="1967260" y="3407789"/>
                    <a:pt x="1802434" y="3324626"/>
                  </a:cubicBezTo>
                  <a:lnTo>
                    <a:pt x="1763533" y="3302729"/>
                  </a:lnTo>
                  <a:lnTo>
                    <a:pt x="1693377" y="3336525"/>
                  </a:lnTo>
                  <a:cubicBezTo>
                    <a:pt x="1547548" y="3398205"/>
                    <a:pt x="1387217" y="3432313"/>
                    <a:pt x="1218919" y="3432313"/>
                  </a:cubicBezTo>
                  <a:cubicBezTo>
                    <a:pt x="545728" y="3432313"/>
                    <a:pt x="0" y="2886585"/>
                    <a:pt x="0" y="2213395"/>
                  </a:cubicBezTo>
                  <a:cubicBezTo>
                    <a:pt x="0" y="1792651"/>
                    <a:pt x="213175" y="1421697"/>
                    <a:pt x="537410" y="1202648"/>
                  </a:cubicBezTo>
                  <a:lnTo>
                    <a:pt x="557716" y="1190312"/>
                  </a:lnTo>
                  <a:lnTo>
                    <a:pt x="562564" y="1094291"/>
                  </a:lnTo>
                  <a:cubicBezTo>
                    <a:pt x="624985" y="479644"/>
                    <a:pt x="1144073" y="0"/>
                    <a:pt x="1775189" y="0"/>
                  </a:cubicBezTo>
                  <a:close/>
                </a:path>
              </a:pathLst>
            </a:custGeom>
            <a:solidFill>
              <a:schemeClr val="bg1"/>
            </a:solidFill>
            <a:ln w="190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8" name="Agrupar 67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0000000-0008-0000-0200-000044000000}"/>
              </a:ext>
            </a:extLst>
          </xdr:cNvPr>
          <xdr:cNvGrpSpPr/>
        </xdr:nvGrpSpPr>
        <xdr:grpSpPr>
          <a:xfrm>
            <a:off x="9747845" y="123825"/>
            <a:ext cx="1201786" cy="243701"/>
            <a:chOff x="8375383" y="88944"/>
            <a:chExt cx="1206101" cy="243701"/>
          </a:xfrm>
        </xdr:grpSpPr>
        <xdr:sp macro="" textlink="">
          <xdr:nvSpPr>
            <xdr:cNvPr id="79" name="Retângulo: Cantos Arredondados 78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200-00004F000000}"/>
                </a:ext>
              </a:extLst>
            </xdr:cNvPr>
            <xdr:cNvSpPr/>
          </xdr:nvSpPr>
          <xdr:spPr>
            <a:xfrm>
              <a:off x="8375383" y="88944"/>
              <a:ext cx="120610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Verificações</a:t>
              </a:r>
            </a:p>
          </xdr:txBody>
        </xdr:sp>
        <xdr:sp macro="" textlink="">
          <xdr:nvSpPr>
            <xdr:cNvPr id="80" name="Forma Livre: Forma 79">
              <a:extLst>
                <a:ext uri="{FF2B5EF4-FFF2-40B4-BE49-F238E27FC236}">
                  <a16:creationId xmlns:a16="http://schemas.microsoft.com/office/drawing/2014/main" id="{00000000-0008-0000-0200-000050000000}"/>
                </a:ext>
              </a:extLst>
            </xdr:cNvPr>
            <xdr:cNvSpPr>
              <a:spLocks noChangeAspect="1"/>
            </xdr:cNvSpPr>
          </xdr:nvSpPr>
          <xdr:spPr>
            <a:xfrm>
              <a:off x="8457315" y="108962"/>
              <a:ext cx="135198" cy="180000"/>
            </a:xfrm>
            <a:custGeom>
              <a:avLst/>
              <a:gdLst>
                <a:gd name="connsiteX0" fmla="*/ 1581153 w 2535787"/>
                <a:gd name="connsiteY0" fmla="*/ 2322953 h 3376090"/>
                <a:gd name="connsiteX1" fmla="*/ 1482262 w 2535787"/>
                <a:gd name="connsiteY1" fmla="*/ 2388502 h 3376090"/>
                <a:gd name="connsiteX2" fmla="*/ 1473828 w 2535787"/>
                <a:gd name="connsiteY2" fmla="*/ 2430278 h 3376090"/>
                <a:gd name="connsiteX3" fmla="*/ 1482262 w 2535787"/>
                <a:gd name="connsiteY3" fmla="*/ 2472053 h 3376090"/>
                <a:gd name="connsiteX4" fmla="*/ 1581153 w 2535787"/>
                <a:gd name="connsiteY4" fmla="*/ 2537602 h 3376090"/>
                <a:gd name="connsiteX5" fmla="*/ 2008482 w 2535787"/>
                <a:gd name="connsiteY5" fmla="*/ 2537603 h 3376090"/>
                <a:gd name="connsiteX6" fmla="*/ 2115807 w 2535787"/>
                <a:gd name="connsiteY6" fmla="*/ 2430278 h 3376090"/>
                <a:gd name="connsiteX7" fmla="*/ 2115808 w 2535787"/>
                <a:gd name="connsiteY7" fmla="*/ 2430278 h 3376090"/>
                <a:gd name="connsiteX8" fmla="*/ 2008483 w 2535787"/>
                <a:gd name="connsiteY8" fmla="*/ 2322953 h 3376090"/>
                <a:gd name="connsiteX9" fmla="*/ 1164301 w 2535787"/>
                <a:gd name="connsiteY9" fmla="*/ 2121918 h 3376090"/>
                <a:gd name="connsiteX10" fmla="*/ 1088411 w 2535787"/>
                <a:gd name="connsiteY10" fmla="*/ 2153353 h 3376090"/>
                <a:gd name="connsiteX11" fmla="*/ 744283 w 2535787"/>
                <a:gd name="connsiteY11" fmla="*/ 2497481 h 3376090"/>
                <a:gd name="connsiteX12" fmla="*/ 611461 w 2535787"/>
                <a:gd name="connsiteY12" fmla="*/ 2364660 h 3376090"/>
                <a:gd name="connsiteX13" fmla="*/ 495185 w 2535787"/>
                <a:gd name="connsiteY13" fmla="*/ 2341084 h 3376090"/>
                <a:gd name="connsiteX14" fmla="*/ 459682 w 2535787"/>
                <a:gd name="connsiteY14" fmla="*/ 2364660 h 3376090"/>
                <a:gd name="connsiteX15" fmla="*/ 459682 w 2535787"/>
                <a:gd name="connsiteY15" fmla="*/ 2364659 h 3376090"/>
                <a:gd name="connsiteX16" fmla="*/ 459681 w 2535787"/>
                <a:gd name="connsiteY16" fmla="*/ 2364660 h 3376090"/>
                <a:gd name="connsiteX17" fmla="*/ 459682 w 2535787"/>
                <a:gd name="connsiteY17" fmla="*/ 2364660 h 3376090"/>
                <a:gd name="connsiteX18" fmla="*/ 436106 w 2535787"/>
                <a:gd name="connsiteY18" fmla="*/ 2400163 h 3376090"/>
                <a:gd name="connsiteX19" fmla="*/ 459682 w 2535787"/>
                <a:gd name="connsiteY19" fmla="*/ 2516439 h 3376090"/>
                <a:gd name="connsiteX20" fmla="*/ 668391 w 2535787"/>
                <a:gd name="connsiteY20" fmla="*/ 2725151 h 3376090"/>
                <a:gd name="connsiteX21" fmla="*/ 820172 w 2535787"/>
                <a:gd name="connsiteY21" fmla="*/ 2725151 h 3376090"/>
                <a:gd name="connsiteX22" fmla="*/ 820173 w 2535787"/>
                <a:gd name="connsiteY22" fmla="*/ 2725151 h 3376090"/>
                <a:gd name="connsiteX23" fmla="*/ 820175 w 2535787"/>
                <a:gd name="connsiteY23" fmla="*/ 2725148 h 3376090"/>
                <a:gd name="connsiteX24" fmla="*/ 1240191 w 2535787"/>
                <a:gd name="connsiteY24" fmla="*/ 2305134 h 3376090"/>
                <a:gd name="connsiteX25" fmla="*/ 1240191 w 2535787"/>
                <a:gd name="connsiteY25" fmla="*/ 2153354 h 3376090"/>
                <a:gd name="connsiteX26" fmla="*/ 1240191 w 2535787"/>
                <a:gd name="connsiteY26" fmla="*/ 2153353 h 3376090"/>
                <a:gd name="connsiteX27" fmla="*/ 1164301 w 2535787"/>
                <a:gd name="connsiteY27" fmla="*/ 2121918 h 3376090"/>
                <a:gd name="connsiteX28" fmla="*/ 1581153 w 2535787"/>
                <a:gd name="connsiteY28" fmla="*/ 1473396 h 3376090"/>
                <a:gd name="connsiteX29" fmla="*/ 1482262 w 2535787"/>
                <a:gd name="connsiteY29" fmla="*/ 1538945 h 3376090"/>
                <a:gd name="connsiteX30" fmla="*/ 1473828 w 2535787"/>
                <a:gd name="connsiteY30" fmla="*/ 1580721 h 3376090"/>
                <a:gd name="connsiteX31" fmla="*/ 1482262 w 2535787"/>
                <a:gd name="connsiteY31" fmla="*/ 1622496 h 3376090"/>
                <a:gd name="connsiteX32" fmla="*/ 1581153 w 2535787"/>
                <a:gd name="connsiteY32" fmla="*/ 1688045 h 3376090"/>
                <a:gd name="connsiteX33" fmla="*/ 2008482 w 2535787"/>
                <a:gd name="connsiteY33" fmla="*/ 1688046 h 3376090"/>
                <a:gd name="connsiteX34" fmla="*/ 2115807 w 2535787"/>
                <a:gd name="connsiteY34" fmla="*/ 1580721 h 3376090"/>
                <a:gd name="connsiteX35" fmla="*/ 2115808 w 2535787"/>
                <a:gd name="connsiteY35" fmla="*/ 1580721 h 3376090"/>
                <a:gd name="connsiteX36" fmla="*/ 2008483 w 2535787"/>
                <a:gd name="connsiteY36" fmla="*/ 1473396 h 3376090"/>
                <a:gd name="connsiteX37" fmla="*/ 1164301 w 2535787"/>
                <a:gd name="connsiteY37" fmla="*/ 1272361 h 3376090"/>
                <a:gd name="connsiteX38" fmla="*/ 1088411 w 2535787"/>
                <a:gd name="connsiteY38" fmla="*/ 1303796 h 3376090"/>
                <a:gd name="connsiteX39" fmla="*/ 744283 w 2535787"/>
                <a:gd name="connsiteY39" fmla="*/ 1647924 h 3376090"/>
                <a:gd name="connsiteX40" fmla="*/ 611461 w 2535787"/>
                <a:gd name="connsiteY40" fmla="*/ 1515103 h 3376090"/>
                <a:gd name="connsiteX41" fmla="*/ 495185 w 2535787"/>
                <a:gd name="connsiteY41" fmla="*/ 1491527 h 3376090"/>
                <a:gd name="connsiteX42" fmla="*/ 459682 w 2535787"/>
                <a:gd name="connsiteY42" fmla="*/ 1515103 h 3376090"/>
                <a:gd name="connsiteX43" fmla="*/ 459682 w 2535787"/>
                <a:gd name="connsiteY43" fmla="*/ 1515102 h 3376090"/>
                <a:gd name="connsiteX44" fmla="*/ 459681 w 2535787"/>
                <a:gd name="connsiteY44" fmla="*/ 1515103 h 3376090"/>
                <a:gd name="connsiteX45" fmla="*/ 459682 w 2535787"/>
                <a:gd name="connsiteY45" fmla="*/ 1515103 h 3376090"/>
                <a:gd name="connsiteX46" fmla="*/ 436106 w 2535787"/>
                <a:gd name="connsiteY46" fmla="*/ 1550606 h 3376090"/>
                <a:gd name="connsiteX47" fmla="*/ 459682 w 2535787"/>
                <a:gd name="connsiteY47" fmla="*/ 1666882 h 3376090"/>
                <a:gd name="connsiteX48" fmla="*/ 668391 w 2535787"/>
                <a:gd name="connsiteY48" fmla="*/ 1875593 h 3376090"/>
                <a:gd name="connsiteX49" fmla="*/ 744282 w 2535787"/>
                <a:gd name="connsiteY49" fmla="*/ 1907028 h 3376090"/>
                <a:gd name="connsiteX50" fmla="*/ 744283 w 2535787"/>
                <a:gd name="connsiteY50" fmla="*/ 1907028 h 3376090"/>
                <a:gd name="connsiteX51" fmla="*/ 784669 w 2535787"/>
                <a:gd name="connsiteY51" fmla="*/ 1899169 h 3376090"/>
                <a:gd name="connsiteX52" fmla="*/ 820173 w 2535787"/>
                <a:gd name="connsiteY52" fmla="*/ 1875594 h 3376090"/>
                <a:gd name="connsiteX53" fmla="*/ 820175 w 2535787"/>
                <a:gd name="connsiteY53" fmla="*/ 1875591 h 3376090"/>
                <a:gd name="connsiteX54" fmla="*/ 1240191 w 2535787"/>
                <a:gd name="connsiteY54" fmla="*/ 1455577 h 3376090"/>
                <a:gd name="connsiteX55" fmla="*/ 1240191 w 2535787"/>
                <a:gd name="connsiteY55" fmla="*/ 1303797 h 3376090"/>
                <a:gd name="connsiteX56" fmla="*/ 1240191 w 2535787"/>
                <a:gd name="connsiteY56" fmla="*/ 1303796 h 3376090"/>
                <a:gd name="connsiteX57" fmla="*/ 1164301 w 2535787"/>
                <a:gd name="connsiteY57" fmla="*/ 1272361 h 3376090"/>
                <a:gd name="connsiteX58" fmla="*/ 224519 w 2535787"/>
                <a:gd name="connsiteY58" fmla="*/ 420258 h 3376090"/>
                <a:gd name="connsiteX59" fmla="*/ 419980 w 2535787"/>
                <a:gd name="connsiteY59" fmla="*/ 420258 h 3376090"/>
                <a:gd name="connsiteX60" fmla="*/ 419980 w 2535787"/>
                <a:gd name="connsiteY60" fmla="*/ 745536 h 3376090"/>
                <a:gd name="connsiteX61" fmla="*/ 727582 w 2535787"/>
                <a:gd name="connsiteY61" fmla="*/ 1053138 h 3376090"/>
                <a:gd name="connsiteX62" fmla="*/ 1808205 w 2535787"/>
                <a:gd name="connsiteY62" fmla="*/ 1053138 h 3376090"/>
                <a:gd name="connsiteX63" fmla="*/ 2115807 w 2535787"/>
                <a:gd name="connsiteY63" fmla="*/ 745536 h 3376090"/>
                <a:gd name="connsiteX64" fmla="*/ 2115807 w 2535787"/>
                <a:gd name="connsiteY64" fmla="*/ 420258 h 3376090"/>
                <a:gd name="connsiteX65" fmla="*/ 2311268 w 2535787"/>
                <a:gd name="connsiteY65" fmla="*/ 420258 h 3376090"/>
                <a:gd name="connsiteX66" fmla="*/ 2535787 w 2535787"/>
                <a:gd name="connsiteY66" fmla="*/ 644777 h 3376090"/>
                <a:gd name="connsiteX67" fmla="*/ 2535787 w 2535787"/>
                <a:gd name="connsiteY67" fmla="*/ 3151571 h 3376090"/>
                <a:gd name="connsiteX68" fmla="*/ 2311268 w 2535787"/>
                <a:gd name="connsiteY68" fmla="*/ 3376090 h 3376090"/>
                <a:gd name="connsiteX69" fmla="*/ 224519 w 2535787"/>
                <a:gd name="connsiteY69" fmla="*/ 3376090 h 3376090"/>
                <a:gd name="connsiteX70" fmla="*/ 0 w 2535787"/>
                <a:gd name="connsiteY70" fmla="*/ 3151571 h 3376090"/>
                <a:gd name="connsiteX71" fmla="*/ 0 w 2535787"/>
                <a:gd name="connsiteY71" fmla="*/ 644777 h 3376090"/>
                <a:gd name="connsiteX72" fmla="*/ 224519 w 2535787"/>
                <a:gd name="connsiteY72" fmla="*/ 420258 h 3376090"/>
                <a:gd name="connsiteX73" fmla="*/ 1267893 w 2535787"/>
                <a:gd name="connsiteY73" fmla="*/ 0 h 3376090"/>
                <a:gd name="connsiteX74" fmla="*/ 1559466 w 2535787"/>
                <a:gd name="connsiteY74" fmla="*/ 193267 h 3376090"/>
                <a:gd name="connsiteX75" fmla="*/ 1566164 w 2535787"/>
                <a:gd name="connsiteY75" fmla="*/ 214845 h 3376090"/>
                <a:gd name="connsiteX76" fmla="*/ 1796853 w 2535787"/>
                <a:gd name="connsiteY76" fmla="*/ 214845 h 3376090"/>
                <a:gd name="connsiteX77" fmla="*/ 1902335 w 2535787"/>
                <a:gd name="connsiteY77" fmla="*/ 320327 h 3376090"/>
                <a:gd name="connsiteX78" fmla="*/ 1902335 w 2535787"/>
                <a:gd name="connsiteY78" fmla="*/ 742243 h 3376090"/>
                <a:gd name="connsiteX79" fmla="*/ 1796853 w 2535787"/>
                <a:gd name="connsiteY79" fmla="*/ 847725 h 3376090"/>
                <a:gd name="connsiteX80" fmla="*/ 738934 w 2535787"/>
                <a:gd name="connsiteY80" fmla="*/ 847725 h 3376090"/>
                <a:gd name="connsiteX81" fmla="*/ 633452 w 2535787"/>
                <a:gd name="connsiteY81" fmla="*/ 742243 h 3376090"/>
                <a:gd name="connsiteX82" fmla="*/ 633452 w 2535787"/>
                <a:gd name="connsiteY82" fmla="*/ 320327 h 3376090"/>
                <a:gd name="connsiteX83" fmla="*/ 738934 w 2535787"/>
                <a:gd name="connsiteY83" fmla="*/ 214845 h 3376090"/>
                <a:gd name="connsiteX84" fmla="*/ 969623 w 2535787"/>
                <a:gd name="connsiteY84" fmla="*/ 214845 h 3376090"/>
                <a:gd name="connsiteX85" fmla="*/ 976321 w 2535787"/>
                <a:gd name="connsiteY85" fmla="*/ 193267 h 3376090"/>
                <a:gd name="connsiteX86" fmla="*/ 1267893 w 2535787"/>
                <a:gd name="connsiteY86" fmla="*/ 0 h 33760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</a:cxnLst>
              <a:rect l="l" t="t" r="r" b="b"/>
              <a:pathLst>
                <a:path w="2535787" h="3376090">
                  <a:moveTo>
                    <a:pt x="1581153" y="2322953"/>
                  </a:moveTo>
                  <a:cubicBezTo>
                    <a:pt x="1536698" y="2322953"/>
                    <a:pt x="1498555" y="2349982"/>
                    <a:pt x="1482262" y="2388502"/>
                  </a:cubicBezTo>
                  <a:lnTo>
                    <a:pt x="1473828" y="2430278"/>
                  </a:lnTo>
                  <a:lnTo>
                    <a:pt x="1482262" y="2472053"/>
                  </a:lnTo>
                  <a:cubicBezTo>
                    <a:pt x="1498555" y="2510574"/>
                    <a:pt x="1536698" y="2537602"/>
                    <a:pt x="1581153" y="2537602"/>
                  </a:cubicBezTo>
                  <a:lnTo>
                    <a:pt x="2008482" y="2537603"/>
                  </a:lnTo>
                  <a:cubicBezTo>
                    <a:pt x="2067756" y="2537603"/>
                    <a:pt x="2115807" y="2489552"/>
                    <a:pt x="2115807" y="2430278"/>
                  </a:cubicBezTo>
                  <a:lnTo>
                    <a:pt x="2115808" y="2430278"/>
                  </a:lnTo>
                  <a:cubicBezTo>
                    <a:pt x="2115808" y="2371004"/>
                    <a:pt x="2067757" y="2322953"/>
                    <a:pt x="2008483" y="2322953"/>
                  </a:cubicBezTo>
                  <a:close/>
                  <a:moveTo>
                    <a:pt x="1164301" y="2121918"/>
                  </a:moveTo>
                  <a:cubicBezTo>
                    <a:pt x="1136834" y="2121918"/>
                    <a:pt x="1109368" y="2132397"/>
                    <a:pt x="1088411" y="2153353"/>
                  </a:cubicBezTo>
                  <a:lnTo>
                    <a:pt x="744283" y="2497481"/>
                  </a:lnTo>
                  <a:lnTo>
                    <a:pt x="611461" y="2364660"/>
                  </a:lnTo>
                  <a:cubicBezTo>
                    <a:pt x="580026" y="2333225"/>
                    <a:pt x="533944" y="2325367"/>
                    <a:pt x="495185" y="2341084"/>
                  </a:cubicBezTo>
                  <a:lnTo>
                    <a:pt x="459682" y="2364660"/>
                  </a:lnTo>
                  <a:lnTo>
                    <a:pt x="459682" y="2364659"/>
                  </a:lnTo>
                  <a:lnTo>
                    <a:pt x="459681" y="2364660"/>
                  </a:lnTo>
                  <a:lnTo>
                    <a:pt x="459682" y="2364660"/>
                  </a:lnTo>
                  <a:lnTo>
                    <a:pt x="436106" y="2400163"/>
                  </a:lnTo>
                  <a:cubicBezTo>
                    <a:pt x="420389" y="2438922"/>
                    <a:pt x="428247" y="2485004"/>
                    <a:pt x="459682" y="2516439"/>
                  </a:cubicBezTo>
                  <a:lnTo>
                    <a:pt x="668391" y="2725151"/>
                  </a:lnTo>
                  <a:cubicBezTo>
                    <a:pt x="710304" y="2767064"/>
                    <a:pt x="778259" y="2767064"/>
                    <a:pt x="820172" y="2725151"/>
                  </a:cubicBezTo>
                  <a:lnTo>
                    <a:pt x="820173" y="2725151"/>
                  </a:lnTo>
                  <a:lnTo>
                    <a:pt x="820175" y="2725148"/>
                  </a:lnTo>
                  <a:lnTo>
                    <a:pt x="1240191" y="2305134"/>
                  </a:lnTo>
                  <a:cubicBezTo>
                    <a:pt x="1282104" y="2263221"/>
                    <a:pt x="1282104" y="2195267"/>
                    <a:pt x="1240191" y="2153354"/>
                  </a:cubicBezTo>
                  <a:lnTo>
                    <a:pt x="1240191" y="2153353"/>
                  </a:lnTo>
                  <a:cubicBezTo>
                    <a:pt x="1219235" y="2132397"/>
                    <a:pt x="1191768" y="2121918"/>
                    <a:pt x="1164301" y="2121918"/>
                  </a:cubicBezTo>
                  <a:close/>
                  <a:moveTo>
                    <a:pt x="1581153" y="1473396"/>
                  </a:moveTo>
                  <a:cubicBezTo>
                    <a:pt x="1536698" y="1473396"/>
                    <a:pt x="1498555" y="1500425"/>
                    <a:pt x="1482262" y="1538945"/>
                  </a:cubicBezTo>
                  <a:lnTo>
                    <a:pt x="1473828" y="1580721"/>
                  </a:lnTo>
                  <a:lnTo>
                    <a:pt x="1482262" y="1622496"/>
                  </a:lnTo>
                  <a:cubicBezTo>
                    <a:pt x="1498555" y="1661016"/>
                    <a:pt x="1536698" y="1688045"/>
                    <a:pt x="1581153" y="1688045"/>
                  </a:cubicBezTo>
                  <a:lnTo>
                    <a:pt x="2008482" y="1688046"/>
                  </a:lnTo>
                  <a:cubicBezTo>
                    <a:pt x="2067756" y="1688046"/>
                    <a:pt x="2115807" y="1639995"/>
                    <a:pt x="2115807" y="1580721"/>
                  </a:cubicBezTo>
                  <a:lnTo>
                    <a:pt x="2115808" y="1580721"/>
                  </a:lnTo>
                  <a:cubicBezTo>
                    <a:pt x="2115808" y="1521447"/>
                    <a:pt x="2067757" y="1473396"/>
                    <a:pt x="2008483" y="1473396"/>
                  </a:cubicBezTo>
                  <a:close/>
                  <a:moveTo>
                    <a:pt x="1164301" y="1272361"/>
                  </a:moveTo>
                  <a:cubicBezTo>
                    <a:pt x="1136834" y="1272361"/>
                    <a:pt x="1109368" y="1282840"/>
                    <a:pt x="1088411" y="1303796"/>
                  </a:cubicBezTo>
                  <a:lnTo>
                    <a:pt x="744283" y="1647924"/>
                  </a:lnTo>
                  <a:lnTo>
                    <a:pt x="611461" y="1515103"/>
                  </a:lnTo>
                  <a:cubicBezTo>
                    <a:pt x="580026" y="1483668"/>
                    <a:pt x="533944" y="1475810"/>
                    <a:pt x="495185" y="1491527"/>
                  </a:cubicBezTo>
                  <a:lnTo>
                    <a:pt x="459682" y="1515103"/>
                  </a:lnTo>
                  <a:lnTo>
                    <a:pt x="459682" y="1515102"/>
                  </a:lnTo>
                  <a:lnTo>
                    <a:pt x="459681" y="1515103"/>
                  </a:lnTo>
                  <a:lnTo>
                    <a:pt x="459682" y="1515103"/>
                  </a:lnTo>
                  <a:lnTo>
                    <a:pt x="436106" y="1550606"/>
                  </a:lnTo>
                  <a:cubicBezTo>
                    <a:pt x="420389" y="1589365"/>
                    <a:pt x="428247" y="1635447"/>
                    <a:pt x="459682" y="1666882"/>
                  </a:cubicBezTo>
                  <a:lnTo>
                    <a:pt x="668391" y="1875593"/>
                  </a:lnTo>
                  <a:cubicBezTo>
                    <a:pt x="689348" y="1896550"/>
                    <a:pt x="716815" y="1907028"/>
                    <a:pt x="744282" y="1907028"/>
                  </a:cubicBezTo>
                  <a:lnTo>
                    <a:pt x="744283" y="1907028"/>
                  </a:lnTo>
                  <a:cubicBezTo>
                    <a:pt x="758017" y="1907028"/>
                    <a:pt x="771750" y="1904408"/>
                    <a:pt x="784669" y="1899169"/>
                  </a:cubicBezTo>
                  <a:lnTo>
                    <a:pt x="820173" y="1875594"/>
                  </a:lnTo>
                  <a:lnTo>
                    <a:pt x="820175" y="1875591"/>
                  </a:lnTo>
                  <a:lnTo>
                    <a:pt x="1240191" y="1455577"/>
                  </a:lnTo>
                  <a:cubicBezTo>
                    <a:pt x="1282104" y="1413664"/>
                    <a:pt x="1282104" y="1345710"/>
                    <a:pt x="1240191" y="1303797"/>
                  </a:cubicBezTo>
                  <a:lnTo>
                    <a:pt x="1240191" y="1303796"/>
                  </a:lnTo>
                  <a:cubicBezTo>
                    <a:pt x="1219235" y="1282840"/>
                    <a:pt x="1191768" y="1272361"/>
                    <a:pt x="1164301" y="1272361"/>
                  </a:cubicBezTo>
                  <a:close/>
                  <a:moveTo>
                    <a:pt x="224519" y="420258"/>
                  </a:moveTo>
                  <a:lnTo>
                    <a:pt x="419980" y="420258"/>
                  </a:lnTo>
                  <a:lnTo>
                    <a:pt x="419980" y="745536"/>
                  </a:lnTo>
                  <a:cubicBezTo>
                    <a:pt x="419980" y="915420"/>
                    <a:pt x="557698" y="1053138"/>
                    <a:pt x="727582" y="1053138"/>
                  </a:cubicBezTo>
                  <a:lnTo>
                    <a:pt x="1808205" y="1053138"/>
                  </a:lnTo>
                  <a:cubicBezTo>
                    <a:pt x="1978089" y="1053138"/>
                    <a:pt x="2115807" y="915420"/>
                    <a:pt x="2115807" y="745536"/>
                  </a:cubicBezTo>
                  <a:lnTo>
                    <a:pt x="2115807" y="420258"/>
                  </a:lnTo>
                  <a:lnTo>
                    <a:pt x="2311268" y="420258"/>
                  </a:lnTo>
                  <a:cubicBezTo>
                    <a:pt x="2435266" y="420258"/>
                    <a:pt x="2535787" y="520779"/>
                    <a:pt x="2535787" y="644777"/>
                  </a:cubicBezTo>
                  <a:lnTo>
                    <a:pt x="2535787" y="3151571"/>
                  </a:lnTo>
                  <a:cubicBezTo>
                    <a:pt x="2535787" y="3275569"/>
                    <a:pt x="2435266" y="3376090"/>
                    <a:pt x="2311268" y="3376090"/>
                  </a:cubicBezTo>
                  <a:lnTo>
                    <a:pt x="224519" y="3376090"/>
                  </a:lnTo>
                  <a:cubicBezTo>
                    <a:pt x="100521" y="3376090"/>
                    <a:pt x="0" y="3275569"/>
                    <a:pt x="0" y="3151571"/>
                  </a:cubicBezTo>
                  <a:lnTo>
                    <a:pt x="0" y="644777"/>
                  </a:lnTo>
                  <a:cubicBezTo>
                    <a:pt x="0" y="520779"/>
                    <a:pt x="100521" y="420258"/>
                    <a:pt x="224519" y="420258"/>
                  </a:cubicBezTo>
                  <a:close/>
                  <a:moveTo>
                    <a:pt x="1267893" y="0"/>
                  </a:moveTo>
                  <a:cubicBezTo>
                    <a:pt x="1398967" y="0"/>
                    <a:pt x="1511428" y="79692"/>
                    <a:pt x="1559466" y="193267"/>
                  </a:cubicBezTo>
                  <a:lnTo>
                    <a:pt x="1566164" y="214845"/>
                  </a:lnTo>
                  <a:lnTo>
                    <a:pt x="1796853" y="214845"/>
                  </a:lnTo>
                  <a:cubicBezTo>
                    <a:pt x="1855109" y="214845"/>
                    <a:pt x="1902335" y="262071"/>
                    <a:pt x="1902335" y="320327"/>
                  </a:cubicBezTo>
                  <a:lnTo>
                    <a:pt x="1902335" y="742243"/>
                  </a:lnTo>
                  <a:cubicBezTo>
                    <a:pt x="1902335" y="800499"/>
                    <a:pt x="1855109" y="847725"/>
                    <a:pt x="1796853" y="847725"/>
                  </a:cubicBezTo>
                  <a:lnTo>
                    <a:pt x="738934" y="847725"/>
                  </a:lnTo>
                  <a:cubicBezTo>
                    <a:pt x="680678" y="847725"/>
                    <a:pt x="633452" y="800499"/>
                    <a:pt x="633452" y="742243"/>
                  </a:cubicBezTo>
                  <a:lnTo>
                    <a:pt x="633452" y="320327"/>
                  </a:lnTo>
                  <a:cubicBezTo>
                    <a:pt x="633452" y="262071"/>
                    <a:pt x="680678" y="214845"/>
                    <a:pt x="738934" y="214845"/>
                  </a:cubicBezTo>
                  <a:lnTo>
                    <a:pt x="969623" y="214845"/>
                  </a:lnTo>
                  <a:lnTo>
                    <a:pt x="976321" y="193267"/>
                  </a:lnTo>
                  <a:cubicBezTo>
                    <a:pt x="1024359" y="79692"/>
                    <a:pt x="1136820" y="0"/>
                    <a:pt x="1267893" y="0"/>
                  </a:cubicBezTo>
                  <a:close/>
                </a:path>
              </a:pathLst>
            </a:custGeom>
            <a:noFill/>
            <a:ln w="9525" cap="rnd">
              <a:solidFill>
                <a:schemeClr val="bg1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9" name="Agrupar 68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GrpSpPr/>
        </xdr:nvGrpSpPr>
        <xdr:grpSpPr>
          <a:xfrm>
            <a:off x="11195664" y="123825"/>
            <a:ext cx="999327" cy="243701"/>
            <a:chOff x="9765034" y="104252"/>
            <a:chExt cx="999581" cy="243701"/>
          </a:xfrm>
        </xdr:grpSpPr>
        <xdr:sp macro="" textlink="">
          <xdr:nvSpPr>
            <xdr:cNvPr id="77" name="Retângulo: Cantos Arredondados 76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200-00004D000000}"/>
                </a:ext>
              </a:extLst>
            </xdr:cNvPr>
            <xdr:cNvSpPr/>
          </xdr:nvSpPr>
          <xdr:spPr>
            <a:xfrm>
              <a:off x="9765034" y="104252"/>
              <a:ext cx="99958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Ligações</a:t>
              </a:r>
            </a:p>
          </xdr:txBody>
        </xdr:sp>
        <xdr:sp macro="" textlink="">
          <xdr:nvSpPr>
            <xdr:cNvPr id="78" name="Forma Livre: Forma 77">
              <a:extLst>
                <a:ext uri="{FF2B5EF4-FFF2-40B4-BE49-F238E27FC236}">
                  <a16:creationId xmlns:a16="http://schemas.microsoft.com/office/drawing/2014/main" id="{00000000-0008-0000-0200-00004E000000}"/>
                </a:ext>
              </a:extLst>
            </xdr:cNvPr>
            <xdr:cNvSpPr>
              <a:spLocks noChangeAspect="1"/>
            </xdr:cNvSpPr>
          </xdr:nvSpPr>
          <xdr:spPr>
            <a:xfrm>
              <a:off x="9810751" y="133349"/>
              <a:ext cx="180000" cy="180000"/>
            </a:xfrm>
            <a:custGeom>
              <a:avLst/>
              <a:gdLst>
                <a:gd name="connsiteX0" fmla="*/ 2123136 w 4250872"/>
                <a:gd name="connsiteY0" fmla="*/ 2070418 h 4250872"/>
                <a:gd name="connsiteX1" fmla="*/ 2154685 w 4250872"/>
                <a:gd name="connsiteY1" fmla="*/ 2096189 h 4250872"/>
                <a:gd name="connsiteX2" fmla="*/ 2170560 w 4250872"/>
                <a:gd name="connsiteY2" fmla="*/ 2115622 h 4250872"/>
                <a:gd name="connsiteX3" fmla="*/ 2139010 w 4250872"/>
                <a:gd name="connsiteY3" fmla="*/ 2089852 h 4250872"/>
                <a:gd name="connsiteX4" fmla="*/ 1601747 w 4250872"/>
                <a:gd name="connsiteY4" fmla="*/ 1799924 h 4250872"/>
                <a:gd name="connsiteX5" fmla="*/ 1590811 w 4250872"/>
                <a:gd name="connsiteY5" fmla="*/ 1836827 h 4250872"/>
                <a:gd name="connsiteX6" fmla="*/ 1590811 w 4250872"/>
                <a:gd name="connsiteY6" fmla="*/ 2104985 h 4250872"/>
                <a:gd name="connsiteX7" fmla="*/ 1624149 w 4250872"/>
                <a:gd name="connsiteY7" fmla="*/ 2217478 h 4250872"/>
                <a:gd name="connsiteX8" fmla="*/ 1202591 w 4250872"/>
                <a:gd name="connsiteY8" fmla="*/ 2639037 h 4250872"/>
                <a:gd name="connsiteX9" fmla="*/ 1202591 w 4250872"/>
                <a:gd name="connsiteY9" fmla="*/ 3048283 h 4250872"/>
                <a:gd name="connsiteX10" fmla="*/ 1611837 w 4250872"/>
                <a:gd name="connsiteY10" fmla="*/ 3048283 h 4250872"/>
                <a:gd name="connsiteX11" fmla="*/ 2033396 w 4250872"/>
                <a:gd name="connsiteY11" fmla="*/ 2626725 h 4250872"/>
                <a:gd name="connsiteX12" fmla="*/ 2102651 w 4250872"/>
                <a:gd name="connsiteY12" fmla="*/ 2557470 h 4250872"/>
                <a:gd name="connsiteX13" fmla="*/ 2158846 w 4250872"/>
                <a:gd name="connsiteY13" fmla="*/ 2574124 h 4250872"/>
                <a:gd name="connsiteX14" fmla="*/ 2504731 w 4250872"/>
                <a:gd name="connsiteY14" fmla="*/ 2540640 h 4250872"/>
                <a:gd name="connsiteX15" fmla="*/ 2519089 w 4250872"/>
                <a:gd name="connsiteY15" fmla="*/ 2533084 h 4250872"/>
                <a:gd name="connsiteX16" fmla="*/ 2470838 w 4250872"/>
                <a:gd name="connsiteY16" fmla="*/ 2624776 h 4250872"/>
                <a:gd name="connsiteX17" fmla="*/ 2450947 w 4250872"/>
                <a:gd name="connsiteY17" fmla="*/ 2649129 h 4250872"/>
                <a:gd name="connsiteX18" fmla="*/ 2392710 w 4250872"/>
                <a:gd name="connsiteY18" fmla="*/ 2720423 h 4250872"/>
                <a:gd name="connsiteX19" fmla="*/ 1826826 w 4250872"/>
                <a:gd name="connsiteY19" fmla="*/ 3286306 h 4250872"/>
                <a:gd name="connsiteX20" fmla="*/ 1060213 w 4250872"/>
                <a:gd name="connsiteY20" fmla="*/ 3364435 h 4250872"/>
                <a:gd name="connsiteX21" fmla="*/ 964566 w 4250872"/>
                <a:gd name="connsiteY21" fmla="*/ 3286306 h 4250872"/>
                <a:gd name="connsiteX22" fmla="*/ 886438 w 4250872"/>
                <a:gd name="connsiteY22" fmla="*/ 3190660 h 4250872"/>
                <a:gd name="connsiteX23" fmla="*/ 964567 w 4250872"/>
                <a:gd name="connsiteY23" fmla="*/ 2424047 h 4250872"/>
                <a:gd name="connsiteX24" fmla="*/ 1530449 w 4250872"/>
                <a:gd name="connsiteY24" fmla="*/ 1858164 h 4250872"/>
                <a:gd name="connsiteX25" fmla="*/ 2199462 w 4250872"/>
                <a:gd name="connsiteY25" fmla="*/ 1728672 h 4250872"/>
                <a:gd name="connsiteX26" fmla="*/ 2297062 w 4250872"/>
                <a:gd name="connsiteY26" fmla="*/ 1780034 h 4250872"/>
                <a:gd name="connsiteX27" fmla="*/ 2392709 w 4250872"/>
                <a:gd name="connsiteY27" fmla="*/ 1858163 h 4250872"/>
                <a:gd name="connsiteX28" fmla="*/ 2392710 w 4250872"/>
                <a:gd name="connsiteY28" fmla="*/ 1858162 h 4250872"/>
                <a:gd name="connsiteX29" fmla="*/ 2470839 w 4250872"/>
                <a:gd name="connsiteY29" fmla="*/ 1953809 h 4250872"/>
                <a:gd name="connsiteX30" fmla="*/ 2507023 w 4250872"/>
                <a:gd name="connsiteY30" fmla="*/ 2022568 h 4250872"/>
                <a:gd name="connsiteX31" fmla="*/ 2526645 w 4250872"/>
                <a:gd name="connsiteY31" fmla="*/ 2059857 h 4250872"/>
                <a:gd name="connsiteX32" fmla="*/ 2543475 w 4250872"/>
                <a:gd name="connsiteY32" fmla="*/ 2116644 h 4250872"/>
                <a:gd name="connsiteX33" fmla="*/ 2560128 w 4250872"/>
                <a:gd name="connsiteY33" fmla="*/ 2172840 h 4250872"/>
                <a:gd name="connsiteX34" fmla="*/ 2526644 w 4250872"/>
                <a:gd name="connsiteY34" fmla="*/ 2518725 h 4250872"/>
                <a:gd name="connsiteX35" fmla="*/ 2519089 w 4250872"/>
                <a:gd name="connsiteY35" fmla="*/ 2533083 h 4250872"/>
                <a:gd name="connsiteX36" fmla="*/ 2504731 w 4250872"/>
                <a:gd name="connsiteY36" fmla="*/ 2540638 h 4250872"/>
                <a:gd name="connsiteX37" fmla="*/ 2158846 w 4250872"/>
                <a:gd name="connsiteY37" fmla="*/ 2574122 h 4250872"/>
                <a:gd name="connsiteX38" fmla="*/ 2102651 w 4250872"/>
                <a:gd name="connsiteY38" fmla="*/ 2557468 h 4250872"/>
                <a:gd name="connsiteX39" fmla="*/ 2154685 w 4250872"/>
                <a:gd name="connsiteY39" fmla="*/ 2505434 h 4250872"/>
                <a:gd name="connsiteX40" fmla="*/ 2234146 w 4250872"/>
                <a:gd name="connsiteY40" fmla="*/ 2245541 h 4250872"/>
                <a:gd name="connsiteX41" fmla="*/ 2232196 w 4250872"/>
                <a:gd name="connsiteY41" fmla="*/ 2238963 h 4250872"/>
                <a:gd name="connsiteX42" fmla="*/ 2218254 w 4250872"/>
                <a:gd name="connsiteY42" fmla="*/ 2191917 h 4250872"/>
                <a:gd name="connsiteX43" fmla="*/ 2191767 w 4250872"/>
                <a:gd name="connsiteY43" fmla="*/ 2141583 h 4250872"/>
                <a:gd name="connsiteX44" fmla="*/ 2170560 w 4250872"/>
                <a:gd name="connsiteY44" fmla="*/ 2115620 h 4250872"/>
                <a:gd name="connsiteX45" fmla="*/ 2170561 w 4250872"/>
                <a:gd name="connsiteY45" fmla="*/ 2115621 h 4250872"/>
                <a:gd name="connsiteX46" fmla="*/ 2154686 w 4250872"/>
                <a:gd name="connsiteY46" fmla="*/ 2096188 h 4250872"/>
                <a:gd name="connsiteX47" fmla="*/ 2123136 w 4250872"/>
                <a:gd name="connsiteY47" fmla="*/ 2070417 h 4250872"/>
                <a:gd name="connsiteX48" fmla="*/ 2111763 w 4250872"/>
                <a:gd name="connsiteY48" fmla="*/ 2056493 h 4250872"/>
                <a:gd name="connsiteX49" fmla="*/ 2139011 w 4250872"/>
                <a:gd name="connsiteY49" fmla="*/ 1789123 h 4250872"/>
                <a:gd name="connsiteX50" fmla="*/ 1990827 w 4250872"/>
                <a:gd name="connsiteY50" fmla="*/ 1680281 h 4250872"/>
                <a:gd name="connsiteX51" fmla="*/ 2078030 w 4250872"/>
                <a:gd name="connsiteY51" fmla="*/ 1690745 h 4250872"/>
                <a:gd name="connsiteX52" fmla="*/ 2134228 w 4250872"/>
                <a:gd name="connsiteY52" fmla="*/ 1707399 h 4250872"/>
                <a:gd name="connsiteX53" fmla="*/ 2089421 w 4250872"/>
                <a:gd name="connsiteY53" fmla="*/ 1752206 h 4250872"/>
                <a:gd name="connsiteX54" fmla="*/ 2009960 w 4250872"/>
                <a:gd name="connsiteY54" fmla="*/ 2012100 h 4250872"/>
                <a:gd name="connsiteX55" fmla="*/ 2011910 w 4250872"/>
                <a:gd name="connsiteY55" fmla="*/ 2018676 h 4250872"/>
                <a:gd name="connsiteX56" fmla="*/ 2011910 w 4250872"/>
                <a:gd name="connsiteY56" fmla="*/ 2018677 h 4250872"/>
                <a:gd name="connsiteX57" fmla="*/ 2025853 w 4250872"/>
                <a:gd name="connsiteY57" fmla="*/ 2065723 h 4250872"/>
                <a:gd name="connsiteX58" fmla="*/ 2052340 w 4250872"/>
                <a:gd name="connsiteY58" fmla="*/ 2116056 h 4250872"/>
                <a:gd name="connsiteX59" fmla="*/ 2089419 w 4250872"/>
                <a:gd name="connsiteY59" fmla="*/ 2161450 h 4250872"/>
                <a:gd name="connsiteX60" fmla="*/ 2089422 w 4250872"/>
                <a:gd name="connsiteY60" fmla="*/ 2161452 h 4250872"/>
                <a:gd name="connsiteX61" fmla="*/ 2089424 w 4250872"/>
                <a:gd name="connsiteY61" fmla="*/ 2161455 h 4250872"/>
                <a:gd name="connsiteX62" fmla="*/ 2132715 w 4250872"/>
                <a:gd name="connsiteY62" fmla="*/ 2226648 h 4250872"/>
                <a:gd name="connsiteX63" fmla="*/ 2089423 w 4250872"/>
                <a:gd name="connsiteY63" fmla="*/ 2440168 h 4250872"/>
                <a:gd name="connsiteX64" fmla="*/ 2008575 w 4250872"/>
                <a:gd name="connsiteY64" fmla="*/ 2521016 h 4250872"/>
                <a:gd name="connsiteX65" fmla="*/ 1939815 w 4250872"/>
                <a:gd name="connsiteY65" fmla="*/ 2484833 h 4250872"/>
                <a:gd name="connsiteX66" fmla="*/ 1844168 w 4250872"/>
                <a:gd name="connsiteY66" fmla="*/ 2406704 h 4250872"/>
                <a:gd name="connsiteX67" fmla="*/ 1766040 w 4250872"/>
                <a:gd name="connsiteY67" fmla="*/ 2311058 h 4250872"/>
                <a:gd name="connsiteX68" fmla="*/ 1729857 w 4250872"/>
                <a:gd name="connsiteY68" fmla="*/ 2242300 h 4250872"/>
                <a:gd name="connsiteX69" fmla="*/ 1710234 w 4250872"/>
                <a:gd name="connsiteY69" fmla="*/ 2205009 h 4250872"/>
                <a:gd name="connsiteX70" fmla="*/ 1693404 w 4250872"/>
                <a:gd name="connsiteY70" fmla="*/ 2148223 h 4250872"/>
                <a:gd name="connsiteX71" fmla="*/ 1693403 w 4250872"/>
                <a:gd name="connsiteY71" fmla="*/ 2148224 h 4250872"/>
                <a:gd name="connsiteX72" fmla="*/ 1676749 w 4250872"/>
                <a:gd name="connsiteY72" fmla="*/ 2092027 h 4250872"/>
                <a:gd name="connsiteX73" fmla="*/ 1710233 w 4250872"/>
                <a:gd name="connsiteY73" fmla="*/ 1746141 h 4250872"/>
                <a:gd name="connsiteX74" fmla="*/ 1717788 w 4250872"/>
                <a:gd name="connsiteY74" fmla="*/ 1731782 h 4250872"/>
                <a:gd name="connsiteX75" fmla="*/ 1732144 w 4250872"/>
                <a:gd name="connsiteY75" fmla="*/ 1724228 h 4250872"/>
                <a:gd name="connsiteX76" fmla="*/ 1990827 w 4250872"/>
                <a:gd name="connsiteY76" fmla="*/ 1680281 h 4250872"/>
                <a:gd name="connsiteX77" fmla="*/ 2855175 w 4250872"/>
                <a:gd name="connsiteY77" fmla="*/ 785987 h 4250872"/>
                <a:gd name="connsiteX78" fmla="*/ 3286305 w 4250872"/>
                <a:gd name="connsiteY78" fmla="*/ 964567 h 4250872"/>
                <a:gd name="connsiteX79" fmla="*/ 3286306 w 4250872"/>
                <a:gd name="connsiteY79" fmla="*/ 964566 h 4250872"/>
                <a:gd name="connsiteX80" fmla="*/ 3286306 w 4250872"/>
                <a:gd name="connsiteY80" fmla="*/ 1826826 h 4250872"/>
                <a:gd name="connsiteX81" fmla="*/ 2706427 w 4250872"/>
                <a:gd name="connsiteY81" fmla="*/ 2406705 h 4250872"/>
                <a:gd name="connsiteX82" fmla="*/ 2632339 w 4250872"/>
                <a:gd name="connsiteY82" fmla="*/ 2467223 h 4250872"/>
                <a:gd name="connsiteX83" fmla="*/ 2643060 w 4250872"/>
                <a:gd name="connsiteY83" fmla="*/ 2431050 h 4250872"/>
                <a:gd name="connsiteX84" fmla="*/ 2643060 w 4250872"/>
                <a:gd name="connsiteY84" fmla="*/ 2162892 h 4250872"/>
                <a:gd name="connsiteX85" fmla="*/ 2609722 w 4250872"/>
                <a:gd name="connsiteY85" fmla="*/ 2050399 h 4250872"/>
                <a:gd name="connsiteX86" fmla="*/ 3046620 w 4250872"/>
                <a:gd name="connsiteY86" fmla="*/ 1613500 h 4250872"/>
                <a:gd name="connsiteX87" fmla="*/ 3046620 w 4250872"/>
                <a:gd name="connsiteY87" fmla="*/ 1204254 h 4250872"/>
                <a:gd name="connsiteX88" fmla="*/ 2637374 w 4250872"/>
                <a:gd name="connsiteY88" fmla="*/ 1204254 h 4250872"/>
                <a:gd name="connsiteX89" fmla="*/ 2200475 w 4250872"/>
                <a:gd name="connsiteY89" fmla="*/ 1641152 h 4250872"/>
                <a:gd name="connsiteX90" fmla="*/ 2200474 w 4250872"/>
                <a:gd name="connsiteY90" fmla="*/ 1641151 h 4250872"/>
                <a:gd name="connsiteX91" fmla="*/ 2134228 w 4250872"/>
                <a:gd name="connsiteY91" fmla="*/ 1707398 h 4250872"/>
                <a:gd name="connsiteX92" fmla="*/ 2078029 w 4250872"/>
                <a:gd name="connsiteY92" fmla="*/ 1690744 h 4250872"/>
                <a:gd name="connsiteX93" fmla="*/ 1732143 w 4250872"/>
                <a:gd name="connsiteY93" fmla="*/ 1724227 h 4250872"/>
                <a:gd name="connsiteX94" fmla="*/ 1717787 w 4250872"/>
                <a:gd name="connsiteY94" fmla="*/ 1731781 h 4250872"/>
                <a:gd name="connsiteX95" fmla="*/ 1766039 w 4250872"/>
                <a:gd name="connsiteY95" fmla="*/ 1640092 h 4250872"/>
                <a:gd name="connsiteX96" fmla="*/ 1783649 w 4250872"/>
                <a:gd name="connsiteY96" fmla="*/ 1618534 h 4250872"/>
                <a:gd name="connsiteX97" fmla="*/ 1783651 w 4250872"/>
                <a:gd name="connsiteY97" fmla="*/ 1618533 h 4250872"/>
                <a:gd name="connsiteX98" fmla="*/ 1844168 w 4250872"/>
                <a:gd name="connsiteY98" fmla="*/ 1544446 h 4250872"/>
                <a:gd name="connsiteX99" fmla="*/ 2424045 w 4250872"/>
                <a:gd name="connsiteY99" fmla="*/ 964567 h 4250872"/>
                <a:gd name="connsiteX100" fmla="*/ 2855175 w 4250872"/>
                <a:gd name="connsiteY100" fmla="*/ 785987 h 4250872"/>
                <a:gd name="connsiteX101" fmla="*/ 2125435 w 4250872"/>
                <a:gd name="connsiteY101" fmla="*/ 266463 h 4250872"/>
                <a:gd name="connsiteX102" fmla="*/ 266463 w 4250872"/>
                <a:gd name="connsiteY102" fmla="*/ 2125435 h 4250872"/>
                <a:gd name="connsiteX103" fmla="*/ 2125435 w 4250872"/>
                <a:gd name="connsiteY103" fmla="*/ 3984407 h 4250872"/>
                <a:gd name="connsiteX104" fmla="*/ 3984407 w 4250872"/>
                <a:gd name="connsiteY104" fmla="*/ 2125435 h 4250872"/>
                <a:gd name="connsiteX105" fmla="*/ 2125435 w 4250872"/>
                <a:gd name="connsiteY105" fmla="*/ 266463 h 4250872"/>
                <a:gd name="connsiteX106" fmla="*/ 2125436 w 4250872"/>
                <a:gd name="connsiteY106" fmla="*/ 0 h 4250872"/>
                <a:gd name="connsiteX107" fmla="*/ 4250872 w 4250872"/>
                <a:gd name="connsiteY107" fmla="*/ 2125436 h 4250872"/>
                <a:gd name="connsiteX108" fmla="*/ 2125436 w 4250872"/>
                <a:gd name="connsiteY108" fmla="*/ 4250872 h 4250872"/>
                <a:gd name="connsiteX109" fmla="*/ 0 w 4250872"/>
                <a:gd name="connsiteY109" fmla="*/ 2125436 h 4250872"/>
                <a:gd name="connsiteX110" fmla="*/ 2125436 w 4250872"/>
                <a:gd name="connsiteY110" fmla="*/ 0 h 42508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</a:cxnLst>
              <a:rect l="l" t="t" r="r" b="b"/>
              <a:pathLst>
                <a:path w="4250872" h="4250872">
                  <a:moveTo>
                    <a:pt x="2123136" y="2070418"/>
                  </a:moveTo>
                  <a:lnTo>
                    <a:pt x="2154685" y="2096189"/>
                  </a:lnTo>
                  <a:lnTo>
                    <a:pt x="2170560" y="2115622"/>
                  </a:lnTo>
                  <a:lnTo>
                    <a:pt x="2139010" y="2089852"/>
                  </a:lnTo>
                  <a:close/>
                  <a:moveTo>
                    <a:pt x="1601747" y="1799924"/>
                  </a:moveTo>
                  <a:lnTo>
                    <a:pt x="1590811" y="1836827"/>
                  </a:lnTo>
                  <a:cubicBezTo>
                    <a:pt x="1573677" y="1925326"/>
                    <a:pt x="1573677" y="2016487"/>
                    <a:pt x="1590811" y="2104985"/>
                  </a:cubicBezTo>
                  <a:lnTo>
                    <a:pt x="1624149" y="2217478"/>
                  </a:lnTo>
                  <a:lnTo>
                    <a:pt x="1202591" y="2639037"/>
                  </a:lnTo>
                  <a:cubicBezTo>
                    <a:pt x="1089580" y="2752047"/>
                    <a:pt x="1089580" y="2935273"/>
                    <a:pt x="1202591" y="3048283"/>
                  </a:cubicBezTo>
                  <a:cubicBezTo>
                    <a:pt x="1315601" y="3161294"/>
                    <a:pt x="1498827" y="3161294"/>
                    <a:pt x="1611837" y="3048283"/>
                  </a:cubicBezTo>
                  <a:lnTo>
                    <a:pt x="2033396" y="2626725"/>
                  </a:lnTo>
                  <a:lnTo>
                    <a:pt x="2102651" y="2557470"/>
                  </a:lnTo>
                  <a:lnTo>
                    <a:pt x="2158846" y="2574124"/>
                  </a:lnTo>
                  <a:cubicBezTo>
                    <a:pt x="2274142" y="2596446"/>
                    <a:pt x="2394638" y="2585286"/>
                    <a:pt x="2504731" y="2540640"/>
                  </a:cubicBezTo>
                  <a:lnTo>
                    <a:pt x="2519089" y="2533084"/>
                  </a:lnTo>
                  <a:lnTo>
                    <a:pt x="2470838" y="2624776"/>
                  </a:lnTo>
                  <a:lnTo>
                    <a:pt x="2450947" y="2649129"/>
                  </a:lnTo>
                  <a:lnTo>
                    <a:pt x="2392710" y="2720423"/>
                  </a:lnTo>
                  <a:lnTo>
                    <a:pt x="1826826" y="3286306"/>
                  </a:lnTo>
                  <a:cubicBezTo>
                    <a:pt x="1618483" y="3494650"/>
                    <a:pt x="1296872" y="3520693"/>
                    <a:pt x="1060213" y="3364435"/>
                  </a:cubicBezTo>
                  <a:lnTo>
                    <a:pt x="964566" y="3286306"/>
                  </a:lnTo>
                  <a:lnTo>
                    <a:pt x="886438" y="3190660"/>
                  </a:lnTo>
                  <a:cubicBezTo>
                    <a:pt x="730181" y="2954001"/>
                    <a:pt x="756224" y="2632390"/>
                    <a:pt x="964567" y="2424047"/>
                  </a:cubicBezTo>
                  <a:lnTo>
                    <a:pt x="1530449" y="1858164"/>
                  </a:lnTo>
                  <a:close/>
                  <a:moveTo>
                    <a:pt x="2199462" y="1728672"/>
                  </a:moveTo>
                  <a:lnTo>
                    <a:pt x="2297062" y="1780034"/>
                  </a:lnTo>
                  <a:cubicBezTo>
                    <a:pt x="2330871" y="1802356"/>
                    <a:pt x="2362946" y="1828400"/>
                    <a:pt x="2392709" y="1858163"/>
                  </a:cubicBezTo>
                  <a:lnTo>
                    <a:pt x="2392710" y="1858162"/>
                  </a:lnTo>
                  <a:cubicBezTo>
                    <a:pt x="2422473" y="1887925"/>
                    <a:pt x="2448517" y="1920000"/>
                    <a:pt x="2470839" y="1953809"/>
                  </a:cubicBezTo>
                  <a:lnTo>
                    <a:pt x="2507023" y="2022568"/>
                  </a:lnTo>
                  <a:lnTo>
                    <a:pt x="2526645" y="2059857"/>
                  </a:lnTo>
                  <a:lnTo>
                    <a:pt x="2543475" y="2116644"/>
                  </a:lnTo>
                  <a:lnTo>
                    <a:pt x="2560128" y="2172840"/>
                  </a:lnTo>
                  <a:cubicBezTo>
                    <a:pt x="2582450" y="2288135"/>
                    <a:pt x="2571290" y="2408632"/>
                    <a:pt x="2526644" y="2518725"/>
                  </a:cubicBezTo>
                  <a:lnTo>
                    <a:pt x="2519089" y="2533083"/>
                  </a:lnTo>
                  <a:lnTo>
                    <a:pt x="2504731" y="2540638"/>
                  </a:lnTo>
                  <a:cubicBezTo>
                    <a:pt x="2394638" y="2585284"/>
                    <a:pt x="2274141" y="2596444"/>
                    <a:pt x="2158846" y="2574122"/>
                  </a:cubicBezTo>
                  <a:lnTo>
                    <a:pt x="2102651" y="2557468"/>
                  </a:lnTo>
                  <a:lnTo>
                    <a:pt x="2154685" y="2505434"/>
                  </a:lnTo>
                  <a:cubicBezTo>
                    <a:pt x="2225316" y="2434803"/>
                    <a:pt x="2251803" y="2336743"/>
                    <a:pt x="2234146" y="2245541"/>
                  </a:cubicBezTo>
                  <a:lnTo>
                    <a:pt x="2232196" y="2238963"/>
                  </a:lnTo>
                  <a:lnTo>
                    <a:pt x="2218254" y="2191917"/>
                  </a:lnTo>
                  <a:cubicBezTo>
                    <a:pt x="2211190" y="2174499"/>
                    <a:pt x="2202361" y="2157630"/>
                    <a:pt x="2191767" y="2141583"/>
                  </a:cubicBezTo>
                  <a:lnTo>
                    <a:pt x="2170560" y="2115620"/>
                  </a:lnTo>
                  <a:lnTo>
                    <a:pt x="2170561" y="2115621"/>
                  </a:lnTo>
                  <a:lnTo>
                    <a:pt x="2154686" y="2096188"/>
                  </a:lnTo>
                  <a:lnTo>
                    <a:pt x="2123136" y="2070417"/>
                  </a:lnTo>
                  <a:lnTo>
                    <a:pt x="2111763" y="2056493"/>
                  </a:lnTo>
                  <a:cubicBezTo>
                    <a:pt x="2057265" y="1973954"/>
                    <a:pt x="2066348" y="1861786"/>
                    <a:pt x="2139011" y="1789123"/>
                  </a:cubicBezTo>
                  <a:close/>
                  <a:moveTo>
                    <a:pt x="1990827" y="1680281"/>
                  </a:moveTo>
                  <a:cubicBezTo>
                    <a:pt x="2020057" y="1681676"/>
                    <a:pt x="2049206" y="1685164"/>
                    <a:pt x="2078030" y="1690745"/>
                  </a:cubicBezTo>
                  <a:lnTo>
                    <a:pt x="2134228" y="1707399"/>
                  </a:lnTo>
                  <a:lnTo>
                    <a:pt x="2089421" y="1752206"/>
                  </a:lnTo>
                  <a:cubicBezTo>
                    <a:pt x="2018790" y="1822838"/>
                    <a:pt x="1992303" y="1920898"/>
                    <a:pt x="2009960" y="2012100"/>
                  </a:cubicBezTo>
                  <a:lnTo>
                    <a:pt x="2011910" y="2018676"/>
                  </a:lnTo>
                  <a:lnTo>
                    <a:pt x="2011910" y="2018677"/>
                  </a:lnTo>
                  <a:lnTo>
                    <a:pt x="2025853" y="2065723"/>
                  </a:lnTo>
                  <a:cubicBezTo>
                    <a:pt x="2032916" y="2083141"/>
                    <a:pt x="2041745" y="2100010"/>
                    <a:pt x="2052340" y="2116056"/>
                  </a:cubicBezTo>
                  <a:lnTo>
                    <a:pt x="2089419" y="2161450"/>
                  </a:lnTo>
                  <a:lnTo>
                    <a:pt x="2089422" y="2161452"/>
                  </a:lnTo>
                  <a:lnTo>
                    <a:pt x="2089424" y="2161455"/>
                  </a:lnTo>
                  <a:lnTo>
                    <a:pt x="2132715" y="2226648"/>
                  </a:lnTo>
                  <a:cubicBezTo>
                    <a:pt x="2161577" y="2297821"/>
                    <a:pt x="2147146" y="2382444"/>
                    <a:pt x="2089423" y="2440168"/>
                  </a:cubicBezTo>
                  <a:lnTo>
                    <a:pt x="2008575" y="2521016"/>
                  </a:lnTo>
                  <a:lnTo>
                    <a:pt x="1939815" y="2484833"/>
                  </a:lnTo>
                  <a:lnTo>
                    <a:pt x="1844168" y="2406704"/>
                  </a:lnTo>
                  <a:lnTo>
                    <a:pt x="1766040" y="2311058"/>
                  </a:lnTo>
                  <a:lnTo>
                    <a:pt x="1729857" y="2242300"/>
                  </a:lnTo>
                  <a:lnTo>
                    <a:pt x="1710234" y="2205009"/>
                  </a:lnTo>
                  <a:lnTo>
                    <a:pt x="1693404" y="2148223"/>
                  </a:lnTo>
                  <a:lnTo>
                    <a:pt x="1693403" y="2148224"/>
                  </a:lnTo>
                  <a:lnTo>
                    <a:pt x="1676749" y="2092027"/>
                  </a:lnTo>
                  <a:cubicBezTo>
                    <a:pt x="1654427" y="1976732"/>
                    <a:pt x="1665588" y="1856235"/>
                    <a:pt x="1710233" y="1746141"/>
                  </a:cubicBezTo>
                  <a:lnTo>
                    <a:pt x="1717788" y="1731782"/>
                  </a:lnTo>
                  <a:lnTo>
                    <a:pt x="1732144" y="1724228"/>
                  </a:lnTo>
                  <a:cubicBezTo>
                    <a:pt x="1814715" y="1690745"/>
                    <a:pt x="1903137" y="1676096"/>
                    <a:pt x="1990827" y="1680281"/>
                  </a:cubicBezTo>
                  <a:close/>
                  <a:moveTo>
                    <a:pt x="2855175" y="785987"/>
                  </a:moveTo>
                  <a:cubicBezTo>
                    <a:pt x="3011213" y="785987"/>
                    <a:pt x="3167252" y="845514"/>
                    <a:pt x="3286305" y="964567"/>
                  </a:cubicBezTo>
                  <a:lnTo>
                    <a:pt x="3286306" y="964566"/>
                  </a:lnTo>
                  <a:cubicBezTo>
                    <a:pt x="3524413" y="1202673"/>
                    <a:pt x="3524413" y="1588720"/>
                    <a:pt x="3286306" y="1826826"/>
                  </a:cubicBezTo>
                  <a:lnTo>
                    <a:pt x="2706427" y="2406705"/>
                  </a:lnTo>
                  <a:lnTo>
                    <a:pt x="2632339" y="2467223"/>
                  </a:lnTo>
                  <a:lnTo>
                    <a:pt x="2643060" y="2431050"/>
                  </a:lnTo>
                  <a:cubicBezTo>
                    <a:pt x="2660194" y="2342552"/>
                    <a:pt x="2660194" y="2251391"/>
                    <a:pt x="2643060" y="2162892"/>
                  </a:cubicBezTo>
                  <a:lnTo>
                    <a:pt x="2609722" y="2050399"/>
                  </a:lnTo>
                  <a:lnTo>
                    <a:pt x="3046620" y="1613500"/>
                  </a:lnTo>
                  <a:cubicBezTo>
                    <a:pt x="3159631" y="1500489"/>
                    <a:pt x="3159631" y="1317264"/>
                    <a:pt x="3046620" y="1204254"/>
                  </a:cubicBezTo>
                  <a:cubicBezTo>
                    <a:pt x="2933609" y="1091243"/>
                    <a:pt x="2750384" y="1091243"/>
                    <a:pt x="2637374" y="1204254"/>
                  </a:cubicBezTo>
                  <a:lnTo>
                    <a:pt x="2200475" y="1641152"/>
                  </a:lnTo>
                  <a:lnTo>
                    <a:pt x="2200474" y="1641151"/>
                  </a:lnTo>
                  <a:lnTo>
                    <a:pt x="2134228" y="1707398"/>
                  </a:lnTo>
                  <a:lnTo>
                    <a:pt x="2078029" y="1690744"/>
                  </a:lnTo>
                  <a:cubicBezTo>
                    <a:pt x="1962734" y="1668422"/>
                    <a:pt x="1842238" y="1679582"/>
                    <a:pt x="1732143" y="1724227"/>
                  </a:cubicBezTo>
                  <a:lnTo>
                    <a:pt x="1717787" y="1731781"/>
                  </a:lnTo>
                  <a:lnTo>
                    <a:pt x="1766039" y="1640092"/>
                  </a:lnTo>
                  <a:lnTo>
                    <a:pt x="1783649" y="1618534"/>
                  </a:lnTo>
                  <a:lnTo>
                    <a:pt x="1783651" y="1618533"/>
                  </a:lnTo>
                  <a:lnTo>
                    <a:pt x="1844168" y="1544446"/>
                  </a:lnTo>
                  <a:lnTo>
                    <a:pt x="2424045" y="964567"/>
                  </a:lnTo>
                  <a:cubicBezTo>
                    <a:pt x="2543099" y="845514"/>
                    <a:pt x="2699137" y="785987"/>
                    <a:pt x="2855175" y="785987"/>
                  </a:cubicBezTo>
                  <a:close/>
                  <a:moveTo>
                    <a:pt x="2125435" y="266463"/>
                  </a:moveTo>
                  <a:cubicBezTo>
                    <a:pt x="1098753" y="266463"/>
                    <a:pt x="266463" y="1098753"/>
                    <a:pt x="266463" y="2125435"/>
                  </a:cubicBezTo>
                  <a:cubicBezTo>
                    <a:pt x="266463" y="3152117"/>
                    <a:pt x="1098753" y="3984407"/>
                    <a:pt x="2125435" y="3984407"/>
                  </a:cubicBezTo>
                  <a:cubicBezTo>
                    <a:pt x="3152117" y="3984407"/>
                    <a:pt x="3984407" y="3152117"/>
                    <a:pt x="3984407" y="2125435"/>
                  </a:cubicBezTo>
                  <a:cubicBezTo>
                    <a:pt x="3984407" y="1098753"/>
                    <a:pt x="3152117" y="266463"/>
                    <a:pt x="2125435" y="266463"/>
                  </a:cubicBezTo>
                  <a:close/>
                  <a:moveTo>
                    <a:pt x="2125436" y="0"/>
                  </a:moveTo>
                  <a:cubicBezTo>
                    <a:pt x="3299282" y="0"/>
                    <a:pt x="4250872" y="951590"/>
                    <a:pt x="4250872" y="2125436"/>
                  </a:cubicBezTo>
                  <a:cubicBezTo>
                    <a:pt x="4250872" y="3299282"/>
                    <a:pt x="3299282" y="4250872"/>
                    <a:pt x="2125436" y="4250872"/>
                  </a:cubicBezTo>
                  <a:cubicBezTo>
                    <a:pt x="951590" y="4250872"/>
                    <a:pt x="0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lose/>
                </a:path>
              </a:pathLst>
            </a:custGeom>
            <a:solidFill>
              <a:schemeClr val="bg1"/>
            </a:solidFill>
            <a:ln w="25400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70" name="Agrupar 69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200-000046000000}"/>
              </a:ext>
            </a:extLst>
          </xdr:cNvPr>
          <xdr:cNvGrpSpPr/>
        </xdr:nvGrpSpPr>
        <xdr:grpSpPr>
          <a:xfrm>
            <a:off x="295275" y="125041"/>
            <a:ext cx="2674917" cy="243680"/>
            <a:chOff x="295275" y="125041"/>
            <a:chExt cx="2674917" cy="243680"/>
          </a:xfrm>
        </xdr:grpSpPr>
        <xdr:grpSp>
          <xdr:nvGrpSpPr>
            <xdr:cNvPr id="71" name="Agrupar 70">
              <a:extLst>
                <a:ext uri="{FF2B5EF4-FFF2-40B4-BE49-F238E27FC236}">
                  <a16:creationId xmlns:a16="http://schemas.microsoft.com/office/drawing/2014/main" id="{00000000-0008-0000-0200-000047000000}"/>
                </a:ext>
              </a:extLst>
            </xdr:cNvPr>
            <xdr:cNvGrpSpPr/>
          </xdr:nvGrpSpPr>
          <xdr:grpSpPr>
            <a:xfrm>
              <a:off x="295275" y="125041"/>
              <a:ext cx="2674917" cy="243680"/>
              <a:chOff x="370665" y="105468"/>
              <a:chExt cx="2671648" cy="244391"/>
            </a:xfrm>
          </xdr:grpSpPr>
          <xdr:sp macro="" textlink="">
            <xdr:nvSpPr>
              <xdr:cNvPr id="73" name="Retângulo: Cantos Arredondados 72">
                <a:extLst>
                  <a:ext uri="{FF2B5EF4-FFF2-40B4-BE49-F238E27FC236}">
                    <a16:creationId xmlns:a16="http://schemas.microsoft.com/office/drawing/2014/main" id="{00000000-0008-0000-0200-000049000000}"/>
                  </a:ext>
                </a:extLst>
              </xdr:cNvPr>
              <xdr:cNvSpPr/>
            </xdr:nvSpPr>
            <xdr:spPr>
              <a:xfrm>
                <a:off x="1199865" y="105468"/>
                <a:ext cx="1842448" cy="244391"/>
              </a:xfrm>
              <a:prstGeom prst="roundRect">
                <a:avLst>
                  <a:gd name="adj" fmla="val 50000"/>
                </a:avLst>
              </a:prstGeom>
              <a:noFill/>
              <a:ln w="285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144000" rIns="0" bIns="72000" rtlCol="0" anchor="ctr"/>
              <a:lstStyle/>
              <a:p>
                <a:pPr marL="0" indent="0" algn="ctr"/>
                <a:r>
                  <a:rPr lang="pt-BR" sz="105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rPr>
                  <a:t>         Treliça Modelo A</a:t>
                </a:r>
              </a:p>
            </xdr:txBody>
          </xdr:sp>
          <xdr:grpSp>
            <xdr:nvGrpSpPr>
              <xdr:cNvPr id="74" name="Agrupar 73">
                <a:extLst>
                  <a:ext uri="{FF2B5EF4-FFF2-40B4-BE49-F238E27FC236}">
                    <a16:creationId xmlns:a16="http://schemas.microsoft.com/office/drawing/2014/main" id="{00000000-0008-0000-0200-00004A000000}"/>
                  </a:ext>
                </a:extLst>
              </xdr:cNvPr>
              <xdr:cNvGrpSpPr/>
            </xdr:nvGrpSpPr>
            <xdr:grpSpPr>
              <a:xfrm>
                <a:off x="370665" y="105468"/>
                <a:ext cx="1197484" cy="244391"/>
                <a:chOff x="1941892" y="104252"/>
                <a:chExt cx="1204439" cy="245585"/>
              </a:xfrm>
            </xdr:grpSpPr>
            <xdr:sp macro="" textlink="">
              <xdr:nvSpPr>
                <xdr:cNvPr id="75" name="Retângulo: Cantos Arredondados 74">
                  <a:extLst>
                    <a:ext uri="{FF2B5EF4-FFF2-40B4-BE49-F238E27FC236}">
                      <a16:creationId xmlns:a16="http://schemas.microsoft.com/office/drawing/2014/main" id="{00000000-0008-0000-0200-00004B000000}"/>
                    </a:ext>
                  </a:extLst>
                </xdr:cNvPr>
                <xdr:cNvSpPr/>
              </xdr:nvSpPr>
              <xdr:spPr>
                <a:xfrm>
                  <a:off x="1941892" y="104252"/>
                  <a:ext cx="1204439" cy="245585"/>
                </a:xfrm>
                <a:prstGeom prst="roundRect">
                  <a:avLst>
                    <a:gd name="adj" fmla="val 50000"/>
                  </a:avLst>
                </a:prstGeom>
                <a:solidFill>
                  <a:schemeClr val="tx1">
                    <a:lumMod val="85000"/>
                    <a:lumOff val="15000"/>
                  </a:schemeClr>
                </a:solidFill>
                <a:ln w="28575">
                  <a:solidFill>
                    <a:schemeClr val="tx1">
                      <a:lumMod val="85000"/>
                      <a:lumOff val="15000"/>
                    </a:schemeClr>
                  </a:solidFill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144000" rIns="0" bIns="72000" rtlCol="0" anchor="ctr"/>
                <a:lstStyle/>
                <a:p>
                  <a:pPr marL="0" indent="0" algn="ctr"/>
                  <a:r>
                    <a:rPr lang="pt-BR" sz="1100">
                      <a:solidFill>
                        <a:schemeClr val="lt1"/>
                      </a:solidFill>
                      <a:latin typeface="Segoe UI Semibold" panose="020B0702040204020203" pitchFamily="34" charset="0"/>
                      <a:ea typeface="+mn-ea"/>
                      <a:cs typeface="Segoe UI Semibold" panose="020B0702040204020203" pitchFamily="34" charset="0"/>
                    </a:rPr>
                    <a:t>Menu Inicial</a:t>
                  </a:r>
                </a:p>
              </xdr:txBody>
            </xdr:sp>
            <xdr:sp macro="" textlink="">
              <xdr:nvSpPr>
                <xdr:cNvPr id="76" name="Forma Livre: Forma 75">
                  <a:extLst>
                    <a:ext uri="{FF2B5EF4-FFF2-40B4-BE49-F238E27FC236}">
                      <a16:creationId xmlns:a16="http://schemas.microsoft.com/office/drawing/2014/main" id="{00000000-0008-0000-0200-00004C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2017848" y="142345"/>
                  <a:ext cx="169596" cy="160423"/>
                </a:xfrm>
                <a:custGeom>
                  <a:avLst/>
                  <a:gdLst>
                    <a:gd name="connsiteX0" fmla="*/ 2207243 w 3579070"/>
                    <a:gd name="connsiteY0" fmla="*/ 3366545 h 3368926"/>
                    <a:gd name="connsiteX1" fmla="*/ 2535059 w 3579070"/>
                    <a:gd name="connsiteY1" fmla="*/ 3366545 h 3368926"/>
                    <a:gd name="connsiteX2" fmla="*/ 2523265 w 3579070"/>
                    <a:gd name="connsiteY2" fmla="*/ 3368926 h 3368926"/>
                    <a:gd name="connsiteX3" fmla="*/ 2219036 w 3579070"/>
                    <a:gd name="connsiteY3" fmla="*/ 3368926 h 3368926"/>
                    <a:gd name="connsiteX4" fmla="*/ 1789535 w 3579070"/>
                    <a:gd name="connsiteY4" fmla="*/ 0 h 3368926"/>
                    <a:gd name="connsiteX5" fmla="*/ 2012243 w 3579070"/>
                    <a:gd name="connsiteY5" fmla="*/ 92249 h 3368926"/>
                    <a:gd name="connsiteX6" fmla="*/ 2012247 w 3579070"/>
                    <a:gd name="connsiteY6" fmla="*/ 92254 h 3368926"/>
                    <a:gd name="connsiteX7" fmla="*/ 3486822 w 3579070"/>
                    <a:gd name="connsiteY7" fmla="*/ 1566828 h 3368926"/>
                    <a:gd name="connsiteX8" fmla="*/ 3486822 w 3579070"/>
                    <a:gd name="connsiteY8" fmla="*/ 2012243 h 3368926"/>
                    <a:gd name="connsiteX9" fmla="*/ 3203960 w 3579070"/>
                    <a:gd name="connsiteY9" fmla="*/ 2098726 h 3368926"/>
                    <a:gd name="connsiteX10" fmla="*/ 3147176 w 3579070"/>
                    <a:gd name="connsiteY10" fmla="*/ 2081898 h 3368926"/>
                    <a:gd name="connsiteX11" fmla="*/ 3147176 w 3579070"/>
                    <a:gd name="connsiteY11" fmla="*/ 2993894 h 3368926"/>
                    <a:gd name="connsiteX12" fmla="*/ 2774526 w 3579070"/>
                    <a:gd name="connsiteY12" fmla="*/ 3366544 h 3368926"/>
                    <a:gd name="connsiteX13" fmla="*/ 2535059 w 3579070"/>
                    <a:gd name="connsiteY13" fmla="*/ 3366544 h 3368926"/>
                    <a:gd name="connsiteX14" fmla="*/ 2207243 w 3579070"/>
                    <a:gd name="connsiteY14" fmla="*/ 3366544 h 3368926"/>
                    <a:gd name="connsiteX15" fmla="*/ 2182467 w 3579070"/>
                    <a:gd name="connsiteY15" fmla="*/ 3361542 h 3368926"/>
                    <a:gd name="connsiteX16" fmla="*/ 2132471 w 3579070"/>
                    <a:gd name="connsiteY16" fmla="*/ 3311546 h 3368926"/>
                    <a:gd name="connsiteX17" fmla="*/ 2127469 w 3579070"/>
                    <a:gd name="connsiteY17" fmla="*/ 3286771 h 3368926"/>
                    <a:gd name="connsiteX18" fmla="*/ 2127469 w 3579070"/>
                    <a:gd name="connsiteY18" fmla="*/ 3286772 h 3368926"/>
                    <a:gd name="connsiteX19" fmla="*/ 2125088 w 3579070"/>
                    <a:gd name="connsiteY19" fmla="*/ 3274978 h 3368926"/>
                    <a:gd name="connsiteX20" fmla="*/ 2125088 w 3579070"/>
                    <a:gd name="connsiteY20" fmla="*/ 3079022 h 3368926"/>
                    <a:gd name="connsiteX21" fmla="*/ 2126378 w 3579070"/>
                    <a:gd name="connsiteY21" fmla="*/ 3072633 h 3368926"/>
                    <a:gd name="connsiteX22" fmla="*/ 2126378 w 3579070"/>
                    <a:gd name="connsiteY22" fmla="*/ 2991827 h 3368926"/>
                    <a:gd name="connsiteX23" fmla="*/ 2127469 w 3579070"/>
                    <a:gd name="connsiteY23" fmla="*/ 2986423 h 3368926"/>
                    <a:gd name="connsiteX24" fmla="*/ 2127469 w 3579070"/>
                    <a:gd name="connsiteY24" fmla="*/ 2455209 h 3368926"/>
                    <a:gd name="connsiteX25" fmla="*/ 1962922 w 3579070"/>
                    <a:gd name="connsiteY25" fmla="*/ 2290662 h 3368926"/>
                    <a:gd name="connsiteX26" fmla="*/ 1619710 w 3579070"/>
                    <a:gd name="connsiteY26" fmla="*/ 2290662 h 3368926"/>
                    <a:gd name="connsiteX27" fmla="*/ 1455163 w 3579070"/>
                    <a:gd name="connsiteY27" fmla="*/ 2455209 h 3368926"/>
                    <a:gd name="connsiteX28" fmla="*/ 1455163 w 3579070"/>
                    <a:gd name="connsiteY28" fmla="*/ 3067228 h 3368926"/>
                    <a:gd name="connsiteX29" fmla="*/ 1452782 w 3579070"/>
                    <a:gd name="connsiteY29" fmla="*/ 3055435 h 3368926"/>
                    <a:gd name="connsiteX30" fmla="*/ 1452782 w 3579070"/>
                    <a:gd name="connsiteY30" fmla="*/ 3055436 h 3368926"/>
                    <a:gd name="connsiteX31" fmla="*/ 1455163 w 3579070"/>
                    <a:gd name="connsiteY31" fmla="*/ 3067229 h 3368926"/>
                    <a:gd name="connsiteX32" fmla="*/ 1457544 w 3579070"/>
                    <a:gd name="connsiteY32" fmla="*/ 3079022 h 3368926"/>
                    <a:gd name="connsiteX33" fmla="*/ 1457544 w 3579070"/>
                    <a:gd name="connsiteY33" fmla="*/ 3274978 h 3368926"/>
                    <a:gd name="connsiteX34" fmla="*/ 1455163 w 3579070"/>
                    <a:gd name="connsiteY34" fmla="*/ 3286772 h 3368926"/>
                    <a:gd name="connsiteX35" fmla="*/ 1450161 w 3579070"/>
                    <a:gd name="connsiteY35" fmla="*/ 3311547 h 3368926"/>
                    <a:gd name="connsiteX36" fmla="*/ 1400165 w 3579070"/>
                    <a:gd name="connsiteY36" fmla="*/ 3361543 h 3368926"/>
                    <a:gd name="connsiteX37" fmla="*/ 1375389 w 3579070"/>
                    <a:gd name="connsiteY37" fmla="*/ 3366545 h 3368926"/>
                    <a:gd name="connsiteX38" fmla="*/ 1363596 w 3579070"/>
                    <a:gd name="connsiteY38" fmla="*/ 3368926 h 3368926"/>
                    <a:gd name="connsiteX39" fmla="*/ 1059367 w 3579070"/>
                    <a:gd name="connsiteY39" fmla="*/ 3368926 h 3368926"/>
                    <a:gd name="connsiteX40" fmla="*/ 1047573 w 3579070"/>
                    <a:gd name="connsiteY40" fmla="*/ 3366545 h 3368926"/>
                    <a:gd name="connsiteX41" fmla="*/ 1047568 w 3579070"/>
                    <a:gd name="connsiteY41" fmla="*/ 3366544 h 3368926"/>
                    <a:gd name="connsiteX42" fmla="*/ 804543 w 3579070"/>
                    <a:gd name="connsiteY42" fmla="*/ 3366544 h 3368926"/>
                    <a:gd name="connsiteX43" fmla="*/ 431893 w 3579070"/>
                    <a:gd name="connsiteY43" fmla="*/ 2993894 h 3368926"/>
                    <a:gd name="connsiteX44" fmla="*/ 431893 w 3579070"/>
                    <a:gd name="connsiteY44" fmla="*/ 2081898 h 3368926"/>
                    <a:gd name="connsiteX45" fmla="*/ 375110 w 3579070"/>
                    <a:gd name="connsiteY45" fmla="*/ 2098726 h 3368926"/>
                    <a:gd name="connsiteX46" fmla="*/ 92248 w 3579070"/>
                    <a:gd name="connsiteY46" fmla="*/ 2012243 h 3368926"/>
                    <a:gd name="connsiteX47" fmla="*/ 92248 w 3579070"/>
                    <a:gd name="connsiteY47" fmla="*/ 1566828 h 3368926"/>
                    <a:gd name="connsiteX48" fmla="*/ 1566823 w 3579070"/>
                    <a:gd name="connsiteY48" fmla="*/ 92254 h 3368926"/>
                    <a:gd name="connsiteX49" fmla="*/ 1566827 w 3579070"/>
                    <a:gd name="connsiteY49" fmla="*/ 92249 h 3368926"/>
                    <a:gd name="connsiteX50" fmla="*/ 1729380 w 3579070"/>
                    <a:gd name="connsiteY50" fmla="*/ 5766 h 3368926"/>
                    <a:gd name="connsiteX51" fmla="*/ 1784115 w 3579070"/>
                    <a:gd name="connsiteY51" fmla="*/ 520 h 336892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  <a:cxn ang="0">
                      <a:pos x="connsiteX51" y="connsiteY51"/>
                    </a:cxn>
                  </a:cxnLst>
                  <a:rect l="l" t="t" r="r" b="b"/>
                  <a:pathLst>
                    <a:path w="3579070" h="3368926">
                      <a:moveTo>
                        <a:pt x="2207243" y="3366545"/>
                      </a:moveTo>
                      <a:lnTo>
                        <a:pt x="2535059" y="3366545"/>
                      </a:lnTo>
                      <a:lnTo>
                        <a:pt x="2523265" y="3368926"/>
                      </a:lnTo>
                      <a:lnTo>
                        <a:pt x="2219036" y="3368926"/>
                      </a:lnTo>
                      <a:close/>
                      <a:moveTo>
                        <a:pt x="1789535" y="0"/>
                      </a:moveTo>
                      <a:cubicBezTo>
                        <a:pt x="1870140" y="0"/>
                        <a:pt x="1950744" y="30750"/>
                        <a:pt x="2012243" y="92249"/>
                      </a:cubicBezTo>
                      <a:lnTo>
                        <a:pt x="2012247" y="92254"/>
                      </a:lnTo>
                      <a:lnTo>
                        <a:pt x="3486822" y="1566828"/>
                      </a:lnTo>
                      <a:cubicBezTo>
                        <a:pt x="3609820" y="1689826"/>
                        <a:pt x="3609820" y="1889246"/>
                        <a:pt x="3486822" y="2012243"/>
                      </a:cubicBezTo>
                      <a:cubicBezTo>
                        <a:pt x="3409949" y="2089117"/>
                        <a:pt x="3303223" y="2117945"/>
                        <a:pt x="3203960" y="2098726"/>
                      </a:cubicBezTo>
                      <a:lnTo>
                        <a:pt x="3147176" y="2081898"/>
                      </a:lnTo>
                      <a:lnTo>
                        <a:pt x="3147176" y="2993894"/>
                      </a:lnTo>
                      <a:cubicBezTo>
                        <a:pt x="3147176" y="3199703"/>
                        <a:pt x="2980335" y="3366544"/>
                        <a:pt x="2774526" y="3366544"/>
                      </a:cubicBezTo>
                      <a:lnTo>
                        <a:pt x="2535059" y="3366544"/>
                      </a:lnTo>
                      <a:lnTo>
                        <a:pt x="2207243" y="3366544"/>
                      </a:lnTo>
                      <a:lnTo>
                        <a:pt x="2182467" y="3361542"/>
                      </a:lnTo>
                      <a:cubicBezTo>
                        <a:pt x="2159988" y="3352034"/>
                        <a:pt x="2141979" y="3334026"/>
                        <a:pt x="2132471" y="3311546"/>
                      </a:cubicBezTo>
                      <a:lnTo>
                        <a:pt x="2127469" y="3286771"/>
                      </a:lnTo>
                      <a:lnTo>
                        <a:pt x="2127469" y="3286772"/>
                      </a:lnTo>
                      <a:lnTo>
                        <a:pt x="2125088" y="3274978"/>
                      </a:lnTo>
                      <a:lnTo>
                        <a:pt x="2125088" y="3079022"/>
                      </a:lnTo>
                      <a:lnTo>
                        <a:pt x="2126378" y="3072633"/>
                      </a:lnTo>
                      <a:lnTo>
                        <a:pt x="2126378" y="2991827"/>
                      </a:lnTo>
                      <a:lnTo>
                        <a:pt x="2127469" y="2986423"/>
                      </a:lnTo>
                      <a:lnTo>
                        <a:pt x="2127469" y="2455209"/>
                      </a:lnTo>
                      <a:cubicBezTo>
                        <a:pt x="2127469" y="2364332"/>
                        <a:pt x="2053799" y="2290662"/>
                        <a:pt x="1962922" y="2290662"/>
                      </a:cubicBezTo>
                      <a:lnTo>
                        <a:pt x="1619710" y="2290662"/>
                      </a:lnTo>
                      <a:cubicBezTo>
                        <a:pt x="1528833" y="2290662"/>
                        <a:pt x="1455163" y="2364332"/>
                        <a:pt x="1455163" y="2455209"/>
                      </a:cubicBezTo>
                      <a:lnTo>
                        <a:pt x="1455163" y="3067228"/>
                      </a:lnTo>
                      <a:lnTo>
                        <a:pt x="1452782" y="3055435"/>
                      </a:lnTo>
                      <a:lnTo>
                        <a:pt x="1452782" y="3055436"/>
                      </a:lnTo>
                      <a:lnTo>
                        <a:pt x="1455163" y="3067229"/>
                      </a:lnTo>
                      <a:lnTo>
                        <a:pt x="1457544" y="3079022"/>
                      </a:lnTo>
                      <a:lnTo>
                        <a:pt x="1457544" y="3274978"/>
                      </a:lnTo>
                      <a:lnTo>
                        <a:pt x="1455163" y="3286772"/>
                      </a:lnTo>
                      <a:lnTo>
                        <a:pt x="1450161" y="3311547"/>
                      </a:lnTo>
                      <a:cubicBezTo>
                        <a:pt x="1440653" y="3334027"/>
                        <a:pt x="1422644" y="3352035"/>
                        <a:pt x="1400165" y="3361543"/>
                      </a:cubicBezTo>
                      <a:lnTo>
                        <a:pt x="1375389" y="3366545"/>
                      </a:lnTo>
                      <a:lnTo>
                        <a:pt x="1363596" y="3368926"/>
                      </a:lnTo>
                      <a:lnTo>
                        <a:pt x="1059367" y="3368926"/>
                      </a:lnTo>
                      <a:lnTo>
                        <a:pt x="1047573" y="3366545"/>
                      </a:lnTo>
                      <a:lnTo>
                        <a:pt x="1047568" y="3366544"/>
                      </a:lnTo>
                      <a:lnTo>
                        <a:pt x="804543" y="3366544"/>
                      </a:lnTo>
                      <a:cubicBezTo>
                        <a:pt x="598734" y="3366544"/>
                        <a:pt x="431893" y="3199703"/>
                        <a:pt x="431893" y="2993894"/>
                      </a:cubicBezTo>
                      <a:lnTo>
                        <a:pt x="431893" y="2081898"/>
                      </a:lnTo>
                      <a:lnTo>
                        <a:pt x="375110" y="2098726"/>
                      </a:lnTo>
                      <a:cubicBezTo>
                        <a:pt x="275847" y="2117945"/>
                        <a:pt x="169121" y="2089117"/>
                        <a:pt x="92248" y="2012243"/>
                      </a:cubicBezTo>
                      <a:cubicBezTo>
                        <a:pt x="-30750" y="1889246"/>
                        <a:pt x="-30750" y="1689826"/>
                        <a:pt x="92248" y="1566828"/>
                      </a:cubicBezTo>
                      <a:lnTo>
                        <a:pt x="1566823" y="92254"/>
                      </a:lnTo>
                      <a:lnTo>
                        <a:pt x="1566827" y="92249"/>
                      </a:lnTo>
                      <a:cubicBezTo>
                        <a:pt x="1612951" y="46124"/>
                        <a:pt x="1669822" y="17297"/>
                        <a:pt x="1729380" y="5766"/>
                      </a:cubicBezTo>
                      <a:lnTo>
                        <a:pt x="1784115" y="520"/>
                      </a:lnTo>
                      <a:close/>
                    </a:path>
                  </a:pathLst>
                </a:custGeom>
                <a:noFill/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/>
                </a:p>
              </xdr:txBody>
            </xdr:sp>
          </xdr:grpSp>
        </xdr:grpSp>
        <xdr:sp macro="" textlink="">
          <xdr:nvSpPr>
            <xdr:cNvPr id="72" name="Forma Livre: Forma 71">
              <a:extLst>
                <a:ext uri="{FF2B5EF4-FFF2-40B4-BE49-F238E27FC236}">
                  <a16:creationId xmlns:a16="http://schemas.microsoft.com/office/drawing/2014/main" id="{00000000-0008-0000-0200-000048000000}"/>
                </a:ext>
              </a:extLst>
            </xdr:cNvPr>
            <xdr:cNvSpPr/>
          </xdr:nvSpPr>
          <xdr:spPr>
            <a:xfrm>
              <a:off x="1569244" y="190501"/>
              <a:ext cx="176212" cy="90310"/>
            </a:xfrm>
            <a:custGeom>
              <a:avLst/>
              <a:gdLst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53778 w 8618536"/>
                <a:gd name="connsiteY41" fmla="*/ 1609322 h 2668736"/>
                <a:gd name="connsiteX42" fmla="*/ 1865802 w 8618536"/>
                <a:gd name="connsiteY42" fmla="*/ 1609322 h 2668736"/>
                <a:gd name="connsiteX43" fmla="*/ 442396 w 8618536"/>
                <a:gd name="connsiteY43" fmla="*/ 2433210 h 2668736"/>
                <a:gd name="connsiteX44" fmla="*/ 1855398 w 8618536"/>
                <a:gd name="connsiteY44" fmla="*/ 2433210 h 2668736"/>
                <a:gd name="connsiteX45" fmla="*/ 1853778 w 8618536"/>
                <a:gd name="connsiteY45" fmla="*/ 2434185 h 2668736"/>
                <a:gd name="connsiteX46" fmla="*/ 2822946 w 8618536"/>
                <a:gd name="connsiteY46" fmla="*/ 2434185 h 2668736"/>
                <a:gd name="connsiteX47" fmla="*/ 2821326 w 8618536"/>
                <a:gd name="connsiteY47" fmla="*/ 2433210 h 2668736"/>
                <a:gd name="connsiteX48" fmla="*/ 4190999 w 8618536"/>
                <a:gd name="connsiteY48" fmla="*/ 2433210 h 2668736"/>
                <a:gd name="connsiteX49" fmla="*/ 4190999 w 8618536"/>
                <a:gd name="connsiteY49" fmla="*/ 2408443 h 2668736"/>
                <a:gd name="connsiteX50" fmla="*/ 2810382 w 8618536"/>
                <a:gd name="connsiteY50" fmla="*/ 1609322 h 2668736"/>
                <a:gd name="connsiteX51" fmla="*/ 2822946 w 8618536"/>
                <a:gd name="connsiteY51" fmla="*/ 1609322 h 2668736"/>
                <a:gd name="connsiteX52" fmla="*/ 2338362 w 8618536"/>
                <a:gd name="connsiteY52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10382 w 8618536"/>
                <a:gd name="connsiteY49" fmla="*/ 1609322 h 2668736"/>
                <a:gd name="connsiteX50" fmla="*/ 2822946 w 8618536"/>
                <a:gd name="connsiteY50" fmla="*/ 1609322 h 2668736"/>
                <a:gd name="connsiteX51" fmla="*/ 2338362 w 8618536"/>
                <a:gd name="connsiteY51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22946 w 8618536"/>
                <a:gd name="connsiteY49" fmla="*/ 1609322 h 2668736"/>
                <a:gd name="connsiteX50" fmla="*/ 2338362 w 8618536"/>
                <a:gd name="connsiteY50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4190999 w 8618536"/>
                <a:gd name="connsiteY47" fmla="*/ 2408443 h 2668736"/>
                <a:gd name="connsiteX48" fmla="*/ 2822946 w 8618536"/>
                <a:gd name="connsiteY48" fmla="*/ 1609322 h 2668736"/>
                <a:gd name="connsiteX49" fmla="*/ 2338362 w 8618536"/>
                <a:gd name="connsiteY49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86851 w 8618536"/>
                <a:gd name="connsiteY27" fmla="*/ 243956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62225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</a:cxnLst>
              <a:rect l="l" t="t" r="r" b="b"/>
              <a:pathLst>
                <a:path w="8618536" h="2668736">
                  <a:moveTo>
                    <a:pt x="4417215" y="0"/>
                  </a:moveTo>
                  <a:lnTo>
                    <a:pt x="8611683" y="2427820"/>
                  </a:lnTo>
                  <a:lnTo>
                    <a:pt x="8618088" y="2433210"/>
                  </a:lnTo>
                  <a:cubicBezTo>
                    <a:pt x="8618237" y="2509338"/>
                    <a:pt x="8618387" y="2585466"/>
                    <a:pt x="8618536" y="2661594"/>
                  </a:cubicBezTo>
                  <a:lnTo>
                    <a:pt x="6369626" y="2659212"/>
                  </a:lnTo>
                  <a:lnTo>
                    <a:pt x="6143624" y="2659212"/>
                  </a:lnTo>
                  <a:lnTo>
                    <a:pt x="4417001" y="2659212"/>
                  </a:lnTo>
                  <a:lnTo>
                    <a:pt x="4417001" y="2659213"/>
                  </a:lnTo>
                  <a:lnTo>
                    <a:pt x="4190999" y="2659213"/>
                  </a:lnTo>
                  <a:lnTo>
                    <a:pt x="4190999" y="2659212"/>
                  </a:lnTo>
                  <a:lnTo>
                    <a:pt x="0" y="2668736"/>
                  </a:lnTo>
                  <a:cubicBezTo>
                    <a:pt x="1226" y="2590227"/>
                    <a:pt x="2451" y="2511719"/>
                    <a:pt x="3677" y="2433210"/>
                  </a:cubicBezTo>
                  <a:lnTo>
                    <a:pt x="558" y="2427822"/>
                  </a:lnTo>
                  <a:lnTo>
                    <a:pt x="4190999" y="2333"/>
                  </a:lnTo>
                  <a:lnTo>
                    <a:pt x="4190999" y="5"/>
                  </a:lnTo>
                  <a:lnTo>
                    <a:pt x="4195022" y="5"/>
                  </a:lnTo>
                  <a:cubicBezTo>
                    <a:pt x="4195024" y="4"/>
                    <a:pt x="4195025" y="3"/>
                    <a:pt x="4195027" y="2"/>
                  </a:cubicBezTo>
                  <a:cubicBezTo>
                    <a:pt x="4195028" y="3"/>
                    <a:pt x="4195028" y="4"/>
                    <a:pt x="4195029" y="5"/>
                  </a:cubicBezTo>
                  <a:lnTo>
                    <a:pt x="4417001" y="5"/>
                  </a:lnTo>
                  <a:lnTo>
                    <a:pt x="4417001" y="369"/>
                  </a:lnTo>
                  <a:lnTo>
                    <a:pt x="4417215" y="0"/>
                  </a:lnTo>
                  <a:close/>
                  <a:moveTo>
                    <a:pt x="4417001" y="261007"/>
                  </a:moveTo>
                  <a:cubicBezTo>
                    <a:pt x="4414884" y="924111"/>
                    <a:pt x="4412768" y="1599121"/>
                    <a:pt x="4410651" y="2262225"/>
                  </a:cubicBezTo>
                  <a:lnTo>
                    <a:pt x="6044928" y="1203275"/>
                  </a:lnTo>
                  <a:lnTo>
                    <a:pt x="4417001" y="261007"/>
                  </a:lnTo>
                  <a:close/>
                  <a:moveTo>
                    <a:pt x="6268587" y="1324844"/>
                  </a:moveTo>
                  <a:lnTo>
                    <a:pt x="5828997" y="1589390"/>
                  </a:lnTo>
                  <a:lnTo>
                    <a:pt x="4524951" y="2441941"/>
                  </a:lnTo>
                  <a:lnTo>
                    <a:pt x="5785622" y="2433210"/>
                  </a:lnTo>
                  <a:lnTo>
                    <a:pt x="5784003" y="2434184"/>
                  </a:lnTo>
                  <a:lnTo>
                    <a:pt x="6753171" y="2434184"/>
                  </a:lnTo>
                  <a:lnTo>
                    <a:pt x="6751553" y="2433210"/>
                  </a:lnTo>
                  <a:lnTo>
                    <a:pt x="8169849" y="2433210"/>
                  </a:lnTo>
                  <a:lnTo>
                    <a:pt x="6611755" y="1531363"/>
                  </a:lnTo>
                  <a:lnTo>
                    <a:pt x="6268587" y="1324844"/>
                  </a:lnTo>
                  <a:close/>
                  <a:moveTo>
                    <a:pt x="4190999" y="263464"/>
                  </a:moveTo>
                  <a:lnTo>
                    <a:pt x="2563665" y="1205389"/>
                  </a:lnTo>
                  <a:lnTo>
                    <a:pt x="4187824" y="2252089"/>
                  </a:lnTo>
                  <a:cubicBezTo>
                    <a:pt x="4188882" y="1589214"/>
                    <a:pt x="4189941" y="926339"/>
                    <a:pt x="4190999" y="263464"/>
                  </a:cubicBezTo>
                  <a:close/>
                  <a:moveTo>
                    <a:pt x="2338362" y="1317699"/>
                  </a:moveTo>
                  <a:lnTo>
                    <a:pt x="1865802" y="1609322"/>
                  </a:lnTo>
                  <a:lnTo>
                    <a:pt x="442396" y="2433210"/>
                  </a:lnTo>
                  <a:lnTo>
                    <a:pt x="1855398" y="2433210"/>
                  </a:lnTo>
                  <a:lnTo>
                    <a:pt x="1853778" y="2434185"/>
                  </a:lnTo>
                  <a:lnTo>
                    <a:pt x="2822946" y="2434185"/>
                  </a:lnTo>
                  <a:lnTo>
                    <a:pt x="2821326" y="2433210"/>
                  </a:lnTo>
                  <a:lnTo>
                    <a:pt x="4063999" y="2423685"/>
                  </a:lnTo>
                  <a:lnTo>
                    <a:pt x="2822946" y="1609322"/>
                  </a:lnTo>
                  <a:lnTo>
                    <a:pt x="2338362" y="1317699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solidFill>
                <a:schemeClr val="bg1"/>
              </a:solidFill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606592</xdr:colOff>
      <xdr:row>6</xdr:row>
      <xdr:rowOff>198752</xdr:rowOff>
    </xdr:from>
    <xdr:to>
      <xdr:col>10</xdr:col>
      <xdr:colOff>9525</xdr:colOff>
      <xdr:row>7</xdr:row>
      <xdr:rowOff>208802</xdr:rowOff>
    </xdr:to>
    <xdr:sp macro="" textlink="">
      <xdr:nvSpPr>
        <xdr:cNvPr id="13" name="Retângulo: Cantos Arredondados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320967" y="1265552"/>
          <a:ext cx="6613358" cy="219600"/>
        </a:xfrm>
        <a:prstGeom prst="roundRect">
          <a:avLst>
            <a:gd name="adj" fmla="val 17693"/>
          </a:avLst>
        </a:prstGeom>
        <a:noFill/>
        <a:ln w="57150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378672</xdr:colOff>
      <xdr:row>6</xdr:row>
      <xdr:rowOff>198752</xdr:rowOff>
    </xdr:from>
    <xdr:to>
      <xdr:col>14</xdr:col>
      <xdr:colOff>0</xdr:colOff>
      <xdr:row>7</xdr:row>
      <xdr:rowOff>208802</xdr:rowOff>
    </xdr:to>
    <xdr:sp macro="" textlink="">
      <xdr:nvSpPr>
        <xdr:cNvPr id="14" name="Retângulo: Cantos Arredondados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8684472" y="1265552"/>
          <a:ext cx="1821603" cy="219600"/>
        </a:xfrm>
        <a:prstGeom prst="roundRect">
          <a:avLst>
            <a:gd name="adj" fmla="val 22518"/>
          </a:avLst>
        </a:prstGeom>
        <a:noFill/>
        <a:ln w="57150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572309</xdr:colOff>
      <xdr:row>4</xdr:row>
      <xdr:rowOff>169545</xdr:rowOff>
    </xdr:from>
    <xdr:to>
      <xdr:col>14</xdr:col>
      <xdr:colOff>28576</xdr:colOff>
      <xdr:row>23</xdr:row>
      <xdr:rowOff>21772</xdr:rowOff>
    </xdr:to>
    <xdr:grpSp>
      <xdr:nvGrpSpPr>
        <xdr:cNvPr id="56" name="Agrupar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GrpSpPr/>
      </xdr:nvGrpSpPr>
      <xdr:grpSpPr>
        <a:xfrm>
          <a:off x="1715309" y="1000125"/>
          <a:ext cx="9491807" cy="3898447"/>
          <a:chOff x="1286684" y="817245"/>
          <a:chExt cx="9247967" cy="3871777"/>
        </a:xfrm>
      </xdr:grpSpPr>
      <xdr:sp macro="" textlink="">
        <xdr:nvSpPr>
          <xdr:cNvPr id="2" name="Retângulo: Cantos Arredondados 1">
            <a:extLst>
              <a:ext uri="{FF2B5EF4-FFF2-40B4-BE49-F238E27FC236}">
                <a16:creationId xmlns:a16="http://schemas.microsoft.com/office/drawing/2014/main" id="{00000000-0008-0000-0300-000002000000}"/>
              </a:ext>
            </a:extLst>
          </xdr:cNvPr>
          <xdr:cNvSpPr/>
        </xdr:nvSpPr>
        <xdr:spPr>
          <a:xfrm>
            <a:off x="1304871" y="817245"/>
            <a:ext cx="1897882" cy="270000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lang="pt-BR" sz="1100"/>
          </a:p>
        </xdr:txBody>
      </xdr:sp>
      <xdr:sp macro="" textlink="">
        <xdr:nvSpPr>
          <xdr:cNvPr id="3" name="Retângulo: Cantos Arredondados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3692870" y="821055"/>
            <a:ext cx="1837480" cy="270000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6052837" y="822369"/>
            <a:ext cx="1853198" cy="270000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lang="pt-BR" sz="1100"/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1297536" y="1701625"/>
            <a:ext cx="1888938" cy="1090733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" name="Retângulo: Cantos Arredondados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1286684" y="2953482"/>
            <a:ext cx="1888938" cy="480961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7" name="Retângulo: Cantos Arredondados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3687864" y="1696182"/>
            <a:ext cx="1879442" cy="1090733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3686508" y="2953482"/>
            <a:ext cx="1869946" cy="480961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9" name="Retângulo: Cantos Arredondados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6044955" y="1698066"/>
            <a:ext cx="1891313" cy="1090733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Retângulo: Cantos Arredondados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6036478" y="2953482"/>
            <a:ext cx="1888938" cy="480961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/>
        </xdr:nvSpPr>
        <xdr:spPr>
          <a:xfrm>
            <a:off x="8657128" y="1684939"/>
            <a:ext cx="1868196" cy="904670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2" name="Retângulo: Cantos Arredondados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/>
        </xdr:nvSpPr>
        <xdr:spPr>
          <a:xfrm>
            <a:off x="8664526" y="3812330"/>
            <a:ext cx="1870125" cy="876692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3" name="Retângulo: Cantos Arredondados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SpPr/>
        </xdr:nvSpPr>
        <xdr:spPr>
          <a:xfrm>
            <a:off x="1286684" y="3601183"/>
            <a:ext cx="1888938" cy="469431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" name="Retângulo: Cantos Arredondados 23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SpPr/>
        </xdr:nvSpPr>
        <xdr:spPr>
          <a:xfrm>
            <a:off x="8657128" y="2768492"/>
            <a:ext cx="1868196" cy="870058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0</xdr:colOff>
      <xdr:row>2</xdr:row>
      <xdr:rowOff>123477</xdr:rowOff>
    </xdr:to>
    <xdr:grpSp>
      <xdr:nvGrpSpPr>
        <xdr:cNvPr id="53" name="Agrupar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GrpSpPr/>
      </xdr:nvGrpSpPr>
      <xdr:grpSpPr>
        <a:xfrm>
          <a:off x="0" y="0"/>
          <a:ext cx="13677900" cy="451137"/>
          <a:chOff x="0" y="0"/>
          <a:chExt cx="13344525" cy="456852"/>
        </a:xfrm>
      </xdr:grpSpPr>
      <xdr:sp macro="" textlink="">
        <xdr:nvSpPr>
          <xdr:cNvPr id="54" name="Retângulo 53">
            <a:extLst>
              <a:ext uri="{FF2B5EF4-FFF2-40B4-BE49-F238E27FC236}">
                <a16:creationId xmlns:a16="http://schemas.microsoft.com/office/drawing/2014/main" id="{00000000-0008-0000-0300-000036000000}"/>
              </a:ext>
            </a:extLst>
          </xdr:cNvPr>
          <xdr:cNvSpPr/>
        </xdr:nvSpPr>
        <xdr:spPr>
          <a:xfrm>
            <a:off x="0" y="0"/>
            <a:ext cx="13344525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Arredondados 54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SpPr/>
        </xdr:nvSpPr>
        <xdr:spPr>
          <a:xfrm>
            <a:off x="3333041" y="126568"/>
            <a:ext cx="45919" cy="243680"/>
          </a:xfrm>
          <a:prstGeom prst="roundRect">
            <a:avLst>
              <a:gd name="adj" fmla="val 50000"/>
            </a:avLst>
          </a:prstGeom>
          <a:solidFill>
            <a:schemeClr val="tx1">
              <a:alpha val="2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endParaRPr lang="pt-BR" sz="1100">
              <a:solidFill>
                <a:schemeClr val="lt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grpSp>
        <xdr:nvGrpSpPr>
          <xdr:cNvPr id="57" name="Agrupar 5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39000000}"/>
              </a:ext>
            </a:extLst>
          </xdr:cNvPr>
          <xdr:cNvGrpSpPr/>
        </xdr:nvGrpSpPr>
        <xdr:grpSpPr>
          <a:xfrm>
            <a:off x="5252438" y="123825"/>
            <a:ext cx="1165435" cy="243701"/>
            <a:chOff x="3341571" y="88944"/>
            <a:chExt cx="1169375" cy="243701"/>
          </a:xfrm>
        </xdr:grpSpPr>
        <xdr:sp macro="" textlink="">
          <xdr:nvSpPr>
            <xdr:cNvPr id="80" name="Retângulo: Cantos Arredondados 79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300-000050000000}"/>
                </a:ext>
              </a:extLst>
            </xdr:cNvPr>
            <xdr:cNvSpPr/>
          </xdr:nvSpPr>
          <xdr:spPr>
            <a:xfrm>
              <a:off x="3341571" y="88944"/>
              <a:ext cx="1169375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Resistência </a:t>
              </a:r>
            </a:p>
          </xdr:txBody>
        </xdr:sp>
        <xdr:sp macro="" textlink="">
          <xdr:nvSpPr>
            <xdr:cNvPr id="81" name="Forma Livre: Forma 80">
              <a:extLst>
                <a:ext uri="{FF2B5EF4-FFF2-40B4-BE49-F238E27FC236}">
                  <a16:creationId xmlns:a16="http://schemas.microsoft.com/office/drawing/2014/main" id="{00000000-0008-0000-0300-000051000000}"/>
                </a:ext>
              </a:extLst>
            </xdr:cNvPr>
            <xdr:cNvSpPr>
              <a:spLocks noChangeAspect="1"/>
            </xdr:cNvSpPr>
          </xdr:nvSpPr>
          <xdr:spPr>
            <a:xfrm>
              <a:off x="3386968" y="120794"/>
              <a:ext cx="152261" cy="180000"/>
            </a:xfrm>
            <a:custGeom>
              <a:avLst/>
              <a:gdLst>
                <a:gd name="connsiteX0" fmla="*/ 2054694 w 2887985"/>
                <a:gd name="connsiteY0" fmla="*/ 1117429 h 3390900"/>
                <a:gd name="connsiteX1" fmla="*/ 2229809 w 2887985"/>
                <a:gd name="connsiteY1" fmla="*/ 1292544 h 3390900"/>
                <a:gd name="connsiteX2" fmla="*/ 1180556 w 2887985"/>
                <a:gd name="connsiteY2" fmla="*/ 2341796 h 3390900"/>
                <a:gd name="connsiteX3" fmla="*/ 640894 w 2887985"/>
                <a:gd name="connsiteY3" fmla="*/ 1802134 h 3390900"/>
                <a:gd name="connsiteX4" fmla="*/ 816009 w 2887985"/>
                <a:gd name="connsiteY4" fmla="*/ 1627019 h 3390900"/>
                <a:gd name="connsiteX5" fmla="*/ 1180556 w 2887985"/>
                <a:gd name="connsiteY5" fmla="*/ 1991566 h 3390900"/>
                <a:gd name="connsiteX6" fmla="*/ 1447238 w 2887985"/>
                <a:gd name="connsiteY6" fmla="*/ 252005 h 3390900"/>
                <a:gd name="connsiteX7" fmla="*/ 221121 w 2887985"/>
                <a:gd name="connsiteY7" fmla="*/ 673686 h 3390900"/>
                <a:gd name="connsiteX8" fmla="*/ 214633 w 2887985"/>
                <a:gd name="connsiteY8" fmla="*/ 1854391 h 3390900"/>
                <a:gd name="connsiteX9" fmla="*/ 1434263 w 2887985"/>
                <a:gd name="connsiteY9" fmla="*/ 3138895 h 3390900"/>
                <a:gd name="connsiteX10" fmla="*/ 2673355 w 2887985"/>
                <a:gd name="connsiteY10" fmla="*/ 1854391 h 3390900"/>
                <a:gd name="connsiteX11" fmla="*/ 2673355 w 2887985"/>
                <a:gd name="connsiteY11" fmla="*/ 686660 h 3390900"/>
                <a:gd name="connsiteX12" fmla="*/ 1447805 w 2887985"/>
                <a:gd name="connsiteY12" fmla="*/ 0 h 3390900"/>
                <a:gd name="connsiteX13" fmla="*/ 2887985 w 2887985"/>
                <a:gd name="connsiteY13" fmla="*/ 510540 h 3390900"/>
                <a:gd name="connsiteX14" fmla="*/ 2887985 w 2887985"/>
                <a:gd name="connsiteY14" fmla="*/ 1882140 h 3390900"/>
                <a:gd name="connsiteX15" fmla="*/ 1432565 w 2887985"/>
                <a:gd name="connsiteY15" fmla="*/ 3390900 h 3390900"/>
                <a:gd name="connsiteX16" fmla="*/ 5 w 2887985"/>
                <a:gd name="connsiteY16" fmla="*/ 1882140 h 3390900"/>
                <a:gd name="connsiteX17" fmla="*/ 7625 w 2887985"/>
                <a:gd name="connsiteY17" fmla="*/ 495300 h 33909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87985" h="3390900">
                  <a:moveTo>
                    <a:pt x="2054694" y="1117429"/>
                  </a:moveTo>
                  <a:lnTo>
                    <a:pt x="2229809" y="1292544"/>
                  </a:lnTo>
                  <a:lnTo>
                    <a:pt x="1180556" y="2341796"/>
                  </a:lnTo>
                  <a:lnTo>
                    <a:pt x="640894" y="1802134"/>
                  </a:lnTo>
                  <a:lnTo>
                    <a:pt x="816009" y="1627019"/>
                  </a:lnTo>
                  <a:lnTo>
                    <a:pt x="1180556" y="1991566"/>
                  </a:lnTo>
                  <a:close/>
                  <a:moveTo>
                    <a:pt x="1447238" y="252005"/>
                  </a:moveTo>
                  <a:lnTo>
                    <a:pt x="221121" y="673686"/>
                  </a:lnTo>
                  <a:lnTo>
                    <a:pt x="214633" y="1854391"/>
                  </a:lnTo>
                  <a:cubicBezTo>
                    <a:pt x="212471" y="2723702"/>
                    <a:pt x="1177741" y="3035096"/>
                    <a:pt x="1434263" y="3138895"/>
                  </a:cubicBezTo>
                  <a:cubicBezTo>
                    <a:pt x="1689162" y="3039151"/>
                    <a:pt x="2669030" y="2710727"/>
                    <a:pt x="2673355" y="1854391"/>
                  </a:cubicBezTo>
                  <a:lnTo>
                    <a:pt x="2673355" y="686660"/>
                  </a:lnTo>
                  <a:close/>
                  <a:moveTo>
                    <a:pt x="1447805" y="0"/>
                  </a:moveTo>
                  <a:lnTo>
                    <a:pt x="2887985" y="510540"/>
                  </a:lnTo>
                  <a:lnTo>
                    <a:pt x="2887985" y="1882140"/>
                  </a:lnTo>
                  <a:cubicBezTo>
                    <a:pt x="2882905" y="2887980"/>
                    <a:pt x="1731966" y="3273742"/>
                    <a:pt x="1432565" y="3390900"/>
                  </a:cubicBezTo>
                  <a:cubicBezTo>
                    <a:pt x="1131258" y="3268979"/>
                    <a:pt x="-2535" y="2903220"/>
                    <a:pt x="5" y="1882140"/>
                  </a:cubicBezTo>
                  <a:lnTo>
                    <a:pt x="7625" y="495300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noFill/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58" name="Agrupar 5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GrpSpPr/>
        </xdr:nvGrpSpPr>
        <xdr:grpSpPr>
          <a:xfrm>
            <a:off x="3901291" y="123825"/>
            <a:ext cx="1105113" cy="243701"/>
            <a:chOff x="3573869" y="104252"/>
            <a:chExt cx="1105394" cy="243701"/>
          </a:xfrm>
        </xdr:grpSpPr>
        <xdr:sp macro="" textlink="">
          <xdr:nvSpPr>
            <xdr:cNvPr id="78" name="Retângulo: Cantos Arredondados 7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300-00004E000000}"/>
                </a:ext>
              </a:extLst>
            </xdr:cNvPr>
            <xdr:cNvSpPr/>
          </xdr:nvSpPr>
          <xdr:spPr>
            <a:xfrm>
              <a:off x="3573869" y="104252"/>
              <a:ext cx="1105394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Dashboard</a:t>
              </a:r>
            </a:p>
          </xdr:txBody>
        </xdr:sp>
        <xdr:sp macro="" textlink="">
          <xdr:nvSpPr>
            <xdr:cNvPr id="79" name="Forma Livre: Forma 78">
              <a:extLst>
                <a:ext uri="{FF2B5EF4-FFF2-40B4-BE49-F238E27FC236}">
                  <a16:creationId xmlns:a16="http://schemas.microsoft.com/office/drawing/2014/main" id="{00000000-0008-0000-0300-00004F000000}"/>
                </a:ext>
              </a:extLst>
            </xdr:cNvPr>
            <xdr:cNvSpPr>
              <a:spLocks noChangeAspect="1"/>
            </xdr:cNvSpPr>
          </xdr:nvSpPr>
          <xdr:spPr>
            <a:xfrm>
              <a:off x="3652639" y="154102"/>
              <a:ext cx="142888" cy="144000"/>
            </a:xfrm>
            <a:custGeom>
              <a:avLst/>
              <a:gdLst>
                <a:gd name="connsiteX0" fmla="*/ 175440 w 3076156"/>
                <a:gd name="connsiteY0" fmla="*/ 2044504 h 3097121"/>
                <a:gd name="connsiteX1" fmla="*/ 1120088 w 3076156"/>
                <a:gd name="connsiteY1" fmla="*/ 2044504 h 3097121"/>
                <a:gd name="connsiteX2" fmla="*/ 1295528 w 3076156"/>
                <a:gd name="connsiteY2" fmla="*/ 2219944 h 3097121"/>
                <a:gd name="connsiteX3" fmla="*/ 1295528 w 3076156"/>
                <a:gd name="connsiteY3" fmla="*/ 2921681 h 3097121"/>
                <a:gd name="connsiteX4" fmla="*/ 1120088 w 3076156"/>
                <a:gd name="connsiteY4" fmla="*/ 3097121 h 3097121"/>
                <a:gd name="connsiteX5" fmla="*/ 175440 w 3076156"/>
                <a:gd name="connsiteY5" fmla="*/ 3097121 h 3097121"/>
                <a:gd name="connsiteX6" fmla="*/ 0 w 3076156"/>
                <a:gd name="connsiteY6" fmla="*/ 2921681 h 3097121"/>
                <a:gd name="connsiteX7" fmla="*/ 0 w 3076156"/>
                <a:gd name="connsiteY7" fmla="*/ 2219944 h 3097121"/>
                <a:gd name="connsiteX8" fmla="*/ 175440 w 3076156"/>
                <a:gd name="connsiteY8" fmla="*/ 2044504 h 3097121"/>
                <a:gd name="connsiteX9" fmla="*/ 1996554 w 3076156"/>
                <a:gd name="connsiteY9" fmla="*/ 1543499 h 3097121"/>
                <a:gd name="connsiteX10" fmla="*/ 2860230 w 3076156"/>
                <a:gd name="connsiteY10" fmla="*/ 1543499 h 3097121"/>
                <a:gd name="connsiteX11" fmla="*/ 3076156 w 3076156"/>
                <a:gd name="connsiteY11" fmla="*/ 1759425 h 3097121"/>
                <a:gd name="connsiteX12" fmla="*/ 3076156 w 3076156"/>
                <a:gd name="connsiteY12" fmla="*/ 2881195 h 3097121"/>
                <a:gd name="connsiteX13" fmla="*/ 2860230 w 3076156"/>
                <a:gd name="connsiteY13" fmla="*/ 3097121 h 3097121"/>
                <a:gd name="connsiteX14" fmla="*/ 1996554 w 3076156"/>
                <a:gd name="connsiteY14" fmla="*/ 3097121 h 3097121"/>
                <a:gd name="connsiteX15" fmla="*/ 1780628 w 3076156"/>
                <a:gd name="connsiteY15" fmla="*/ 2881195 h 3097121"/>
                <a:gd name="connsiteX16" fmla="*/ 1780628 w 3076156"/>
                <a:gd name="connsiteY16" fmla="*/ 1759425 h 3097121"/>
                <a:gd name="connsiteX17" fmla="*/ 1996554 w 3076156"/>
                <a:gd name="connsiteY17" fmla="*/ 1543499 h 3097121"/>
                <a:gd name="connsiteX18" fmla="*/ 1956068 w 3076156"/>
                <a:gd name="connsiteY18" fmla="*/ 0 h 3097121"/>
                <a:gd name="connsiteX19" fmla="*/ 2900716 w 3076156"/>
                <a:gd name="connsiteY19" fmla="*/ 0 h 3097121"/>
                <a:gd name="connsiteX20" fmla="*/ 3076156 w 3076156"/>
                <a:gd name="connsiteY20" fmla="*/ 175440 h 3097121"/>
                <a:gd name="connsiteX21" fmla="*/ 3076156 w 3076156"/>
                <a:gd name="connsiteY21" fmla="*/ 877177 h 3097121"/>
                <a:gd name="connsiteX22" fmla="*/ 2900716 w 3076156"/>
                <a:gd name="connsiteY22" fmla="*/ 1052617 h 3097121"/>
                <a:gd name="connsiteX23" fmla="*/ 1956068 w 3076156"/>
                <a:gd name="connsiteY23" fmla="*/ 1052617 h 3097121"/>
                <a:gd name="connsiteX24" fmla="*/ 1780628 w 3076156"/>
                <a:gd name="connsiteY24" fmla="*/ 877177 h 3097121"/>
                <a:gd name="connsiteX25" fmla="*/ 1780628 w 3076156"/>
                <a:gd name="connsiteY25" fmla="*/ 175440 h 3097121"/>
                <a:gd name="connsiteX26" fmla="*/ 1956068 w 3076156"/>
                <a:gd name="connsiteY26" fmla="*/ 0 h 3097121"/>
                <a:gd name="connsiteX27" fmla="*/ 215926 w 3076156"/>
                <a:gd name="connsiteY27" fmla="*/ 0 h 3097121"/>
                <a:gd name="connsiteX28" fmla="*/ 1079602 w 3076156"/>
                <a:gd name="connsiteY28" fmla="*/ 0 h 3097121"/>
                <a:gd name="connsiteX29" fmla="*/ 1295528 w 3076156"/>
                <a:gd name="connsiteY29" fmla="*/ 215926 h 3097121"/>
                <a:gd name="connsiteX30" fmla="*/ 1295528 w 3076156"/>
                <a:gd name="connsiteY30" fmla="*/ 1337696 h 3097121"/>
                <a:gd name="connsiteX31" fmla="*/ 1079602 w 3076156"/>
                <a:gd name="connsiteY31" fmla="*/ 1553622 h 3097121"/>
                <a:gd name="connsiteX32" fmla="*/ 215926 w 3076156"/>
                <a:gd name="connsiteY32" fmla="*/ 1553622 h 3097121"/>
                <a:gd name="connsiteX33" fmla="*/ 0 w 3076156"/>
                <a:gd name="connsiteY33" fmla="*/ 1337696 h 3097121"/>
                <a:gd name="connsiteX34" fmla="*/ 0 w 3076156"/>
                <a:gd name="connsiteY34" fmla="*/ 215926 h 3097121"/>
                <a:gd name="connsiteX35" fmla="*/ 215926 w 3076156"/>
                <a:gd name="connsiteY35" fmla="*/ 0 h 30971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</a:cxnLst>
              <a:rect l="l" t="t" r="r" b="b"/>
              <a:pathLst>
                <a:path w="3076156" h="3097121">
                  <a:moveTo>
                    <a:pt x="175440" y="2044504"/>
                  </a:moveTo>
                  <a:lnTo>
                    <a:pt x="1120088" y="2044504"/>
                  </a:lnTo>
                  <a:cubicBezTo>
                    <a:pt x="1216981" y="2044504"/>
                    <a:pt x="1295528" y="2123051"/>
                    <a:pt x="1295528" y="2219944"/>
                  </a:cubicBezTo>
                  <a:lnTo>
                    <a:pt x="1295528" y="2921681"/>
                  </a:lnTo>
                  <a:cubicBezTo>
                    <a:pt x="1295528" y="3018574"/>
                    <a:pt x="1216981" y="3097121"/>
                    <a:pt x="1120088" y="3097121"/>
                  </a:cubicBezTo>
                  <a:lnTo>
                    <a:pt x="175440" y="3097121"/>
                  </a:lnTo>
                  <a:cubicBezTo>
                    <a:pt x="78547" y="3097121"/>
                    <a:pt x="0" y="3018574"/>
                    <a:pt x="0" y="2921681"/>
                  </a:cubicBezTo>
                  <a:lnTo>
                    <a:pt x="0" y="2219944"/>
                  </a:lnTo>
                  <a:cubicBezTo>
                    <a:pt x="0" y="2123051"/>
                    <a:pt x="78547" y="2044504"/>
                    <a:pt x="175440" y="2044504"/>
                  </a:cubicBezTo>
                  <a:close/>
                  <a:moveTo>
                    <a:pt x="1996554" y="1543499"/>
                  </a:moveTo>
                  <a:lnTo>
                    <a:pt x="2860230" y="1543499"/>
                  </a:lnTo>
                  <a:cubicBezTo>
                    <a:pt x="2979483" y="1543499"/>
                    <a:pt x="3076156" y="1640172"/>
                    <a:pt x="3076156" y="1759425"/>
                  </a:cubicBezTo>
                  <a:lnTo>
                    <a:pt x="3076156" y="2881195"/>
                  </a:lnTo>
                  <a:cubicBezTo>
                    <a:pt x="3076156" y="3000448"/>
                    <a:pt x="2979483" y="3097121"/>
                    <a:pt x="2860230" y="3097121"/>
                  </a:cubicBezTo>
                  <a:lnTo>
                    <a:pt x="1996554" y="3097121"/>
                  </a:lnTo>
                  <a:cubicBezTo>
                    <a:pt x="1877301" y="3097121"/>
                    <a:pt x="1780628" y="3000448"/>
                    <a:pt x="1780628" y="2881195"/>
                  </a:cubicBezTo>
                  <a:lnTo>
                    <a:pt x="1780628" y="1759425"/>
                  </a:lnTo>
                  <a:cubicBezTo>
                    <a:pt x="1780628" y="1640172"/>
                    <a:pt x="1877301" y="1543499"/>
                    <a:pt x="1996554" y="1543499"/>
                  </a:cubicBezTo>
                  <a:close/>
                  <a:moveTo>
                    <a:pt x="1956068" y="0"/>
                  </a:moveTo>
                  <a:lnTo>
                    <a:pt x="2900716" y="0"/>
                  </a:lnTo>
                  <a:cubicBezTo>
                    <a:pt x="2997609" y="0"/>
                    <a:pt x="3076156" y="78547"/>
                    <a:pt x="3076156" y="175440"/>
                  </a:cubicBezTo>
                  <a:lnTo>
                    <a:pt x="3076156" y="877177"/>
                  </a:lnTo>
                  <a:cubicBezTo>
                    <a:pt x="3076156" y="974070"/>
                    <a:pt x="2997609" y="1052617"/>
                    <a:pt x="2900716" y="1052617"/>
                  </a:cubicBezTo>
                  <a:lnTo>
                    <a:pt x="1956068" y="1052617"/>
                  </a:lnTo>
                  <a:cubicBezTo>
                    <a:pt x="1859175" y="1052617"/>
                    <a:pt x="1780628" y="974070"/>
                    <a:pt x="1780628" y="877177"/>
                  </a:cubicBezTo>
                  <a:lnTo>
                    <a:pt x="1780628" y="175440"/>
                  </a:lnTo>
                  <a:cubicBezTo>
                    <a:pt x="1780628" y="78547"/>
                    <a:pt x="1859175" y="0"/>
                    <a:pt x="1956068" y="0"/>
                  </a:cubicBezTo>
                  <a:close/>
                  <a:moveTo>
                    <a:pt x="215926" y="0"/>
                  </a:moveTo>
                  <a:lnTo>
                    <a:pt x="1079602" y="0"/>
                  </a:lnTo>
                  <a:cubicBezTo>
                    <a:pt x="1198855" y="0"/>
                    <a:pt x="1295528" y="96673"/>
                    <a:pt x="1295528" y="215926"/>
                  </a:cubicBezTo>
                  <a:lnTo>
                    <a:pt x="1295528" y="1337696"/>
                  </a:lnTo>
                  <a:cubicBezTo>
                    <a:pt x="1295528" y="1456949"/>
                    <a:pt x="1198855" y="1553622"/>
                    <a:pt x="1079602" y="1553622"/>
                  </a:cubicBezTo>
                  <a:lnTo>
                    <a:pt x="215926" y="1553622"/>
                  </a:lnTo>
                  <a:cubicBezTo>
                    <a:pt x="96673" y="1553622"/>
                    <a:pt x="0" y="1456949"/>
                    <a:pt x="0" y="1337696"/>
                  </a:cubicBezTo>
                  <a:lnTo>
                    <a:pt x="0" y="215926"/>
                  </a:lnTo>
                  <a:cubicBezTo>
                    <a:pt x="0" y="96673"/>
                    <a:pt x="96673" y="0"/>
                    <a:pt x="215926" y="0"/>
                  </a:cubicBezTo>
                  <a:close/>
                </a:path>
              </a:pathLst>
            </a:custGeom>
            <a:solidFill>
              <a:sysClr val="window" lastClr="FFFFFF"/>
            </a:solidFill>
            <a:ln w="952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59" name="Agrupar 5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GrpSpPr/>
        </xdr:nvGrpSpPr>
        <xdr:grpSpPr>
          <a:xfrm>
            <a:off x="6663907" y="123825"/>
            <a:ext cx="1323538" cy="243701"/>
            <a:chOff x="5650832" y="88944"/>
            <a:chExt cx="1329890" cy="243701"/>
          </a:xfrm>
        </xdr:grpSpPr>
        <xdr:sp macro="" textlink="">
          <xdr:nvSpPr>
            <xdr:cNvPr id="76" name="Retângulo: Cantos Arredondados 75">
              <a:extLst>
                <a:ext uri="{FF2B5EF4-FFF2-40B4-BE49-F238E27FC236}">
                  <a16:creationId xmlns:a16="http://schemas.microsoft.com/office/drawing/2014/main" id="{00000000-0008-0000-0300-00004C000000}"/>
                </a:ext>
              </a:extLst>
            </xdr:cNvPr>
            <xdr:cNvSpPr/>
          </xdr:nvSpPr>
          <xdr:spPr>
            <a:xfrm>
              <a:off x="5650832" y="88944"/>
              <a:ext cx="1329890" cy="243701"/>
            </a:xfrm>
            <a:prstGeom prst="roundRect">
              <a:avLst>
                <a:gd name="adj" fmla="val 50000"/>
              </a:avLst>
            </a:prstGeom>
            <a:solidFill>
              <a:srgbClr val="FD3F0B"/>
            </a:solidFill>
            <a:ln>
              <a:noFill/>
            </a:ln>
            <a:effectLst>
              <a:outerShdw blurRad="304800" sx="105000" sy="105000" algn="ctr" rotWithShape="0">
                <a:srgbClr val="FB510D">
                  <a:alpha val="54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tIns="468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Carregamentos</a:t>
              </a:r>
            </a:p>
          </xdr:txBody>
        </xdr:sp>
        <xdr:sp macro="" textlink="">
          <xdr:nvSpPr>
            <xdr:cNvPr id="77" name="Forma Livre: Forma 76">
              <a:extLst>
                <a:ext uri="{FF2B5EF4-FFF2-40B4-BE49-F238E27FC236}">
                  <a16:creationId xmlns:a16="http://schemas.microsoft.com/office/drawing/2014/main" id="{00000000-0008-0000-0300-00004D000000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5692742" y="120794"/>
              <a:ext cx="180000" cy="180000"/>
            </a:xfrm>
            <a:custGeom>
              <a:avLst/>
              <a:gdLst>
                <a:gd name="connsiteX0" fmla="*/ 2860562 w 4250871"/>
                <a:gd name="connsiteY0" fmla="*/ 3136711 h 4250873"/>
                <a:gd name="connsiteX1" fmla="*/ 2743390 w 4250871"/>
                <a:gd name="connsiteY1" fmla="*/ 3253883 h 4250873"/>
                <a:gd name="connsiteX2" fmla="*/ 1430254 w 4250871"/>
                <a:gd name="connsiteY2" fmla="*/ 3253883 h 4250873"/>
                <a:gd name="connsiteX3" fmla="*/ 1592348 w 4250871"/>
                <a:gd name="connsiteY3" fmla="*/ 3415977 h 4250873"/>
                <a:gd name="connsiteX4" fmla="*/ 1592348 w 4250871"/>
                <a:gd name="connsiteY4" fmla="*/ 3581683 h 4250873"/>
                <a:gd name="connsiteX5" fmla="*/ 1426642 w 4250871"/>
                <a:gd name="connsiteY5" fmla="*/ 3581683 h 4250873"/>
                <a:gd name="connsiteX6" fmla="*/ 1072656 w 4250871"/>
                <a:gd name="connsiteY6" fmla="*/ 3227696 h 4250873"/>
                <a:gd name="connsiteX7" fmla="*/ 1071717 w 4250871"/>
                <a:gd name="connsiteY7" fmla="*/ 3227127 h 4250873"/>
                <a:gd name="connsiteX8" fmla="*/ 1068045 w 4250871"/>
                <a:gd name="connsiteY8" fmla="*/ 3223086 h 4250873"/>
                <a:gd name="connsiteX9" fmla="*/ 1064523 w 4250871"/>
                <a:gd name="connsiteY9" fmla="*/ 3219563 h 4250873"/>
                <a:gd name="connsiteX10" fmla="*/ 1063649 w 4250871"/>
                <a:gd name="connsiteY10" fmla="*/ 3218248 h 4250873"/>
                <a:gd name="connsiteX11" fmla="*/ 1049089 w 4250871"/>
                <a:gd name="connsiteY11" fmla="*/ 3202223 h 4250873"/>
                <a:gd name="connsiteX12" fmla="*/ 1045750 w 4250871"/>
                <a:gd name="connsiteY12" fmla="*/ 3191293 h 4250873"/>
                <a:gd name="connsiteX13" fmla="*/ 1038784 w 4250871"/>
                <a:gd name="connsiteY13" fmla="*/ 3180802 h 4250873"/>
                <a:gd name="connsiteX14" fmla="*/ 1032182 w 4250871"/>
                <a:gd name="connsiteY14" fmla="*/ 3146874 h 4250873"/>
                <a:gd name="connsiteX15" fmla="*/ 1029077 w 4250871"/>
                <a:gd name="connsiteY15" fmla="*/ 3136711 h 4250873"/>
                <a:gd name="connsiteX16" fmla="*/ 1063396 w 4250871"/>
                <a:gd name="connsiteY16" fmla="*/ 3053858 h 4250873"/>
                <a:gd name="connsiteX17" fmla="*/ 1066851 w 4250871"/>
                <a:gd name="connsiteY17" fmla="*/ 3051529 h 4250873"/>
                <a:gd name="connsiteX18" fmla="*/ 1426642 w 4250871"/>
                <a:gd name="connsiteY18" fmla="*/ 2691737 h 4250873"/>
                <a:gd name="connsiteX19" fmla="*/ 1592348 w 4250871"/>
                <a:gd name="connsiteY19" fmla="*/ 2691737 h 4250873"/>
                <a:gd name="connsiteX20" fmla="*/ 1592348 w 4250871"/>
                <a:gd name="connsiteY20" fmla="*/ 2857443 h 4250873"/>
                <a:gd name="connsiteX21" fmla="*/ 1430252 w 4250871"/>
                <a:gd name="connsiteY21" fmla="*/ 3019539 h 4250873"/>
                <a:gd name="connsiteX22" fmla="*/ 2743390 w 4250871"/>
                <a:gd name="connsiteY22" fmla="*/ 3019539 h 4250873"/>
                <a:gd name="connsiteX23" fmla="*/ 2860562 w 4250871"/>
                <a:gd name="connsiteY23" fmla="*/ 3136711 h 4250873"/>
                <a:gd name="connsiteX24" fmla="*/ 2860562 w 4250871"/>
                <a:gd name="connsiteY24" fmla="*/ 2122041 h 4250873"/>
                <a:gd name="connsiteX25" fmla="*/ 2743390 w 4250871"/>
                <a:gd name="connsiteY25" fmla="*/ 2239213 h 4250873"/>
                <a:gd name="connsiteX26" fmla="*/ 1430254 w 4250871"/>
                <a:gd name="connsiteY26" fmla="*/ 2239213 h 4250873"/>
                <a:gd name="connsiteX27" fmla="*/ 1592348 w 4250871"/>
                <a:gd name="connsiteY27" fmla="*/ 2401307 h 4250873"/>
                <a:gd name="connsiteX28" fmla="*/ 1592348 w 4250871"/>
                <a:gd name="connsiteY28" fmla="*/ 2567013 h 4250873"/>
                <a:gd name="connsiteX29" fmla="*/ 1426642 w 4250871"/>
                <a:gd name="connsiteY29" fmla="*/ 2567013 h 4250873"/>
                <a:gd name="connsiteX30" fmla="*/ 1072656 w 4250871"/>
                <a:gd name="connsiteY30" fmla="*/ 2213026 h 4250873"/>
                <a:gd name="connsiteX31" fmla="*/ 1071717 w 4250871"/>
                <a:gd name="connsiteY31" fmla="*/ 2212457 h 4250873"/>
                <a:gd name="connsiteX32" fmla="*/ 1068045 w 4250871"/>
                <a:gd name="connsiteY32" fmla="*/ 2208416 h 4250873"/>
                <a:gd name="connsiteX33" fmla="*/ 1064523 w 4250871"/>
                <a:gd name="connsiteY33" fmla="*/ 2204893 h 4250873"/>
                <a:gd name="connsiteX34" fmla="*/ 1063649 w 4250871"/>
                <a:gd name="connsiteY34" fmla="*/ 2203578 h 4250873"/>
                <a:gd name="connsiteX35" fmla="*/ 1049089 w 4250871"/>
                <a:gd name="connsiteY35" fmla="*/ 2187553 h 4250873"/>
                <a:gd name="connsiteX36" fmla="*/ 1045750 w 4250871"/>
                <a:gd name="connsiteY36" fmla="*/ 2176623 h 4250873"/>
                <a:gd name="connsiteX37" fmla="*/ 1038784 w 4250871"/>
                <a:gd name="connsiteY37" fmla="*/ 2166132 h 4250873"/>
                <a:gd name="connsiteX38" fmla="*/ 1032182 w 4250871"/>
                <a:gd name="connsiteY38" fmla="*/ 2132204 h 4250873"/>
                <a:gd name="connsiteX39" fmla="*/ 1029077 w 4250871"/>
                <a:gd name="connsiteY39" fmla="*/ 2122041 h 4250873"/>
                <a:gd name="connsiteX40" fmla="*/ 1063396 w 4250871"/>
                <a:gd name="connsiteY40" fmla="*/ 2039188 h 4250873"/>
                <a:gd name="connsiteX41" fmla="*/ 1066851 w 4250871"/>
                <a:gd name="connsiteY41" fmla="*/ 2036859 h 4250873"/>
                <a:gd name="connsiteX42" fmla="*/ 1426642 w 4250871"/>
                <a:gd name="connsiteY42" fmla="*/ 1677067 h 4250873"/>
                <a:gd name="connsiteX43" fmla="*/ 1592348 w 4250871"/>
                <a:gd name="connsiteY43" fmla="*/ 1677067 h 4250873"/>
                <a:gd name="connsiteX44" fmla="*/ 1592348 w 4250871"/>
                <a:gd name="connsiteY44" fmla="*/ 1842773 h 4250873"/>
                <a:gd name="connsiteX45" fmla="*/ 1430252 w 4250871"/>
                <a:gd name="connsiteY45" fmla="*/ 2004869 h 4250873"/>
                <a:gd name="connsiteX46" fmla="*/ 2743390 w 4250871"/>
                <a:gd name="connsiteY46" fmla="*/ 2004869 h 4250873"/>
                <a:gd name="connsiteX47" fmla="*/ 2860562 w 4250871"/>
                <a:gd name="connsiteY47" fmla="*/ 2122041 h 4250873"/>
                <a:gd name="connsiteX48" fmla="*/ 2860562 w 4250871"/>
                <a:gd name="connsiteY48" fmla="*/ 1107371 h 4250873"/>
                <a:gd name="connsiteX49" fmla="*/ 2743390 w 4250871"/>
                <a:gd name="connsiteY49" fmla="*/ 1224543 h 4250873"/>
                <a:gd name="connsiteX50" fmla="*/ 1430254 w 4250871"/>
                <a:gd name="connsiteY50" fmla="*/ 1224543 h 4250873"/>
                <a:gd name="connsiteX51" fmla="*/ 1592348 w 4250871"/>
                <a:gd name="connsiteY51" fmla="*/ 1386637 h 4250873"/>
                <a:gd name="connsiteX52" fmla="*/ 1592348 w 4250871"/>
                <a:gd name="connsiteY52" fmla="*/ 1552343 h 4250873"/>
                <a:gd name="connsiteX53" fmla="*/ 1426642 w 4250871"/>
                <a:gd name="connsiteY53" fmla="*/ 1552343 h 4250873"/>
                <a:gd name="connsiteX54" fmla="*/ 1072656 w 4250871"/>
                <a:gd name="connsiteY54" fmla="*/ 1198356 h 4250873"/>
                <a:gd name="connsiteX55" fmla="*/ 1071717 w 4250871"/>
                <a:gd name="connsiteY55" fmla="*/ 1197787 h 4250873"/>
                <a:gd name="connsiteX56" fmla="*/ 1068045 w 4250871"/>
                <a:gd name="connsiteY56" fmla="*/ 1193746 h 4250873"/>
                <a:gd name="connsiteX57" fmla="*/ 1064523 w 4250871"/>
                <a:gd name="connsiteY57" fmla="*/ 1190223 h 4250873"/>
                <a:gd name="connsiteX58" fmla="*/ 1063649 w 4250871"/>
                <a:gd name="connsiteY58" fmla="*/ 1188908 h 4250873"/>
                <a:gd name="connsiteX59" fmla="*/ 1049089 w 4250871"/>
                <a:gd name="connsiteY59" fmla="*/ 1172883 h 4250873"/>
                <a:gd name="connsiteX60" fmla="*/ 1045750 w 4250871"/>
                <a:gd name="connsiteY60" fmla="*/ 1161953 h 4250873"/>
                <a:gd name="connsiteX61" fmla="*/ 1038784 w 4250871"/>
                <a:gd name="connsiteY61" fmla="*/ 1151462 h 4250873"/>
                <a:gd name="connsiteX62" fmla="*/ 1032182 w 4250871"/>
                <a:gd name="connsiteY62" fmla="*/ 1117534 h 4250873"/>
                <a:gd name="connsiteX63" fmla="*/ 1029077 w 4250871"/>
                <a:gd name="connsiteY63" fmla="*/ 1107371 h 4250873"/>
                <a:gd name="connsiteX64" fmla="*/ 1063396 w 4250871"/>
                <a:gd name="connsiteY64" fmla="*/ 1024518 h 4250873"/>
                <a:gd name="connsiteX65" fmla="*/ 1066851 w 4250871"/>
                <a:gd name="connsiteY65" fmla="*/ 1022189 h 4250873"/>
                <a:gd name="connsiteX66" fmla="*/ 1426642 w 4250871"/>
                <a:gd name="connsiteY66" fmla="*/ 662397 h 4250873"/>
                <a:gd name="connsiteX67" fmla="*/ 1592348 w 4250871"/>
                <a:gd name="connsiteY67" fmla="*/ 662397 h 4250873"/>
                <a:gd name="connsiteX68" fmla="*/ 1592348 w 4250871"/>
                <a:gd name="connsiteY68" fmla="*/ 828103 h 4250873"/>
                <a:gd name="connsiteX69" fmla="*/ 1430252 w 4250871"/>
                <a:gd name="connsiteY69" fmla="*/ 990199 h 4250873"/>
                <a:gd name="connsiteX70" fmla="*/ 2743390 w 4250871"/>
                <a:gd name="connsiteY70" fmla="*/ 990199 h 4250873"/>
                <a:gd name="connsiteX71" fmla="*/ 2860562 w 4250871"/>
                <a:gd name="connsiteY71" fmla="*/ 1107371 h 4250873"/>
                <a:gd name="connsiteX72" fmla="*/ 3334103 w 4250871"/>
                <a:gd name="connsiteY72" fmla="*/ 1052131 h 4250873"/>
                <a:gd name="connsiteX73" fmla="*/ 3334103 w 4250871"/>
                <a:gd name="connsiteY73" fmla="*/ 3191951 h 4250873"/>
                <a:gd name="connsiteX74" fmla="*/ 3216931 w 4250871"/>
                <a:gd name="connsiteY74" fmla="*/ 3309123 h 4250873"/>
                <a:gd name="connsiteX75" fmla="*/ 3099759 w 4250871"/>
                <a:gd name="connsiteY75" fmla="*/ 3191951 h 4250873"/>
                <a:gd name="connsiteX76" fmla="*/ 3099759 w 4250871"/>
                <a:gd name="connsiteY76" fmla="*/ 1052131 h 4250873"/>
                <a:gd name="connsiteX77" fmla="*/ 3216931 w 4250871"/>
                <a:gd name="connsiteY77" fmla="*/ 934959 h 4250873"/>
                <a:gd name="connsiteX78" fmla="*/ 3334103 w 4250871"/>
                <a:gd name="connsiteY78" fmla="*/ 1052131 h 4250873"/>
                <a:gd name="connsiteX79" fmla="*/ 3984408 w 4250871"/>
                <a:gd name="connsiteY79" fmla="*/ 2125436 h 4250873"/>
                <a:gd name="connsiteX80" fmla="*/ 2125437 w 4250871"/>
                <a:gd name="connsiteY80" fmla="*/ 266463 h 4250873"/>
                <a:gd name="connsiteX81" fmla="*/ 266465 w 4250871"/>
                <a:gd name="connsiteY81" fmla="*/ 2125435 h 4250873"/>
                <a:gd name="connsiteX82" fmla="*/ 2125437 w 4250871"/>
                <a:gd name="connsiteY82" fmla="*/ 3984408 h 4250873"/>
                <a:gd name="connsiteX83" fmla="*/ 3984408 w 4250871"/>
                <a:gd name="connsiteY83" fmla="*/ 2125436 h 4250873"/>
                <a:gd name="connsiteX84" fmla="*/ 4250871 w 4250871"/>
                <a:gd name="connsiteY84" fmla="*/ 2125437 h 4250873"/>
                <a:gd name="connsiteX85" fmla="*/ 2125436 w 4250871"/>
                <a:gd name="connsiteY85" fmla="*/ 4250873 h 4250873"/>
                <a:gd name="connsiteX86" fmla="*/ 0 w 4250871"/>
                <a:gd name="connsiteY86" fmla="*/ 2125436 h 4250873"/>
                <a:gd name="connsiteX87" fmla="*/ 2125436 w 4250871"/>
                <a:gd name="connsiteY87" fmla="*/ 0 h 4250873"/>
                <a:gd name="connsiteX88" fmla="*/ 4250871 w 4250871"/>
                <a:gd name="connsiteY88" fmla="*/ 2125437 h 42508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</a:cxnLst>
              <a:rect l="l" t="t" r="r" b="b"/>
              <a:pathLst>
                <a:path w="4250871" h="4250873">
                  <a:moveTo>
                    <a:pt x="2860562" y="3136711"/>
                  </a:moveTo>
                  <a:cubicBezTo>
                    <a:pt x="2860562" y="3201423"/>
                    <a:pt x="2808102" y="3253883"/>
                    <a:pt x="2743390" y="3253883"/>
                  </a:cubicBezTo>
                  <a:lnTo>
                    <a:pt x="1430254" y="3253883"/>
                  </a:lnTo>
                  <a:lnTo>
                    <a:pt x="1592348" y="3415977"/>
                  </a:lnTo>
                  <a:cubicBezTo>
                    <a:pt x="1638107" y="3461735"/>
                    <a:pt x="1638107" y="3535925"/>
                    <a:pt x="1592348" y="3581683"/>
                  </a:cubicBezTo>
                  <a:cubicBezTo>
                    <a:pt x="1546590" y="3627443"/>
                    <a:pt x="1472401" y="3627443"/>
                    <a:pt x="1426642" y="3581683"/>
                  </a:cubicBezTo>
                  <a:lnTo>
                    <a:pt x="1072656" y="3227696"/>
                  </a:lnTo>
                  <a:lnTo>
                    <a:pt x="1071717" y="3227127"/>
                  </a:lnTo>
                  <a:lnTo>
                    <a:pt x="1068045" y="3223086"/>
                  </a:lnTo>
                  <a:lnTo>
                    <a:pt x="1064523" y="3219563"/>
                  </a:lnTo>
                  <a:lnTo>
                    <a:pt x="1063649" y="3218248"/>
                  </a:lnTo>
                  <a:lnTo>
                    <a:pt x="1049089" y="3202223"/>
                  </a:lnTo>
                  <a:lnTo>
                    <a:pt x="1045750" y="3191293"/>
                  </a:lnTo>
                  <a:lnTo>
                    <a:pt x="1038784" y="3180802"/>
                  </a:lnTo>
                  <a:lnTo>
                    <a:pt x="1032182" y="3146874"/>
                  </a:lnTo>
                  <a:lnTo>
                    <a:pt x="1029077" y="3136711"/>
                  </a:lnTo>
                  <a:cubicBezTo>
                    <a:pt x="1029077" y="3104355"/>
                    <a:pt x="1042192" y="3075062"/>
                    <a:pt x="1063396" y="3053858"/>
                  </a:cubicBezTo>
                  <a:lnTo>
                    <a:pt x="1066851" y="3051529"/>
                  </a:lnTo>
                  <a:lnTo>
                    <a:pt x="1426642" y="2691737"/>
                  </a:lnTo>
                  <a:cubicBezTo>
                    <a:pt x="1472401" y="2645978"/>
                    <a:pt x="1546590" y="2645978"/>
                    <a:pt x="1592348" y="2691737"/>
                  </a:cubicBezTo>
                  <a:cubicBezTo>
                    <a:pt x="1638107" y="2737495"/>
                    <a:pt x="1638107" y="2811685"/>
                    <a:pt x="1592348" y="2857443"/>
                  </a:cubicBezTo>
                  <a:lnTo>
                    <a:pt x="1430252" y="3019539"/>
                  </a:lnTo>
                  <a:lnTo>
                    <a:pt x="2743390" y="3019539"/>
                  </a:lnTo>
                  <a:cubicBezTo>
                    <a:pt x="2808102" y="3019539"/>
                    <a:pt x="2860562" y="3071999"/>
                    <a:pt x="2860562" y="3136711"/>
                  </a:cubicBezTo>
                  <a:close/>
                  <a:moveTo>
                    <a:pt x="2860562" y="2122041"/>
                  </a:moveTo>
                  <a:cubicBezTo>
                    <a:pt x="2860562" y="2186753"/>
                    <a:pt x="2808102" y="2239213"/>
                    <a:pt x="2743390" y="2239213"/>
                  </a:cubicBezTo>
                  <a:lnTo>
                    <a:pt x="1430254" y="2239213"/>
                  </a:lnTo>
                  <a:lnTo>
                    <a:pt x="1592348" y="2401307"/>
                  </a:lnTo>
                  <a:cubicBezTo>
                    <a:pt x="1638107" y="2447065"/>
                    <a:pt x="1638107" y="2521255"/>
                    <a:pt x="1592348" y="2567013"/>
                  </a:cubicBezTo>
                  <a:cubicBezTo>
                    <a:pt x="1546590" y="2612772"/>
                    <a:pt x="1472401" y="2612772"/>
                    <a:pt x="1426642" y="2567013"/>
                  </a:cubicBezTo>
                  <a:lnTo>
                    <a:pt x="1072656" y="2213026"/>
                  </a:lnTo>
                  <a:lnTo>
                    <a:pt x="1071717" y="2212457"/>
                  </a:lnTo>
                  <a:lnTo>
                    <a:pt x="1068045" y="2208416"/>
                  </a:lnTo>
                  <a:lnTo>
                    <a:pt x="1064523" y="2204893"/>
                  </a:lnTo>
                  <a:lnTo>
                    <a:pt x="1063649" y="2203578"/>
                  </a:lnTo>
                  <a:lnTo>
                    <a:pt x="1049089" y="2187553"/>
                  </a:lnTo>
                  <a:lnTo>
                    <a:pt x="1045750" y="2176623"/>
                  </a:lnTo>
                  <a:lnTo>
                    <a:pt x="1038784" y="2166132"/>
                  </a:lnTo>
                  <a:lnTo>
                    <a:pt x="1032182" y="2132204"/>
                  </a:lnTo>
                  <a:lnTo>
                    <a:pt x="1029077" y="2122041"/>
                  </a:lnTo>
                  <a:cubicBezTo>
                    <a:pt x="1029077" y="2089685"/>
                    <a:pt x="1042192" y="2060392"/>
                    <a:pt x="1063396" y="2039188"/>
                  </a:cubicBezTo>
                  <a:lnTo>
                    <a:pt x="1066851" y="2036859"/>
                  </a:lnTo>
                  <a:lnTo>
                    <a:pt x="1426642" y="1677067"/>
                  </a:lnTo>
                  <a:cubicBezTo>
                    <a:pt x="1472401" y="1631308"/>
                    <a:pt x="1546590" y="1631308"/>
                    <a:pt x="1592348" y="1677067"/>
                  </a:cubicBezTo>
                  <a:cubicBezTo>
                    <a:pt x="1638107" y="1722825"/>
                    <a:pt x="1638107" y="1797015"/>
                    <a:pt x="1592348" y="1842773"/>
                  </a:cubicBezTo>
                  <a:lnTo>
                    <a:pt x="1430252" y="2004869"/>
                  </a:lnTo>
                  <a:lnTo>
                    <a:pt x="2743390" y="2004869"/>
                  </a:lnTo>
                  <a:cubicBezTo>
                    <a:pt x="2808102" y="2004869"/>
                    <a:pt x="2860562" y="2057329"/>
                    <a:pt x="2860562" y="2122041"/>
                  </a:cubicBezTo>
                  <a:close/>
                  <a:moveTo>
                    <a:pt x="2860562" y="1107371"/>
                  </a:moveTo>
                  <a:cubicBezTo>
                    <a:pt x="2860562" y="1172083"/>
                    <a:pt x="2808102" y="1224543"/>
                    <a:pt x="2743390" y="1224543"/>
                  </a:cubicBezTo>
                  <a:lnTo>
                    <a:pt x="1430254" y="1224543"/>
                  </a:lnTo>
                  <a:lnTo>
                    <a:pt x="1592348" y="1386637"/>
                  </a:lnTo>
                  <a:cubicBezTo>
                    <a:pt x="1638107" y="1432395"/>
                    <a:pt x="1638107" y="1506585"/>
                    <a:pt x="1592348" y="1552343"/>
                  </a:cubicBezTo>
                  <a:cubicBezTo>
                    <a:pt x="1546590" y="1598102"/>
                    <a:pt x="1472401" y="1598102"/>
                    <a:pt x="1426642" y="1552343"/>
                  </a:cubicBezTo>
                  <a:lnTo>
                    <a:pt x="1072656" y="1198356"/>
                  </a:lnTo>
                  <a:lnTo>
                    <a:pt x="1071717" y="1197787"/>
                  </a:lnTo>
                  <a:lnTo>
                    <a:pt x="1068045" y="1193746"/>
                  </a:lnTo>
                  <a:lnTo>
                    <a:pt x="1064523" y="1190223"/>
                  </a:lnTo>
                  <a:lnTo>
                    <a:pt x="1063649" y="1188908"/>
                  </a:lnTo>
                  <a:lnTo>
                    <a:pt x="1049089" y="1172883"/>
                  </a:lnTo>
                  <a:lnTo>
                    <a:pt x="1045750" y="1161953"/>
                  </a:lnTo>
                  <a:lnTo>
                    <a:pt x="1038784" y="1151462"/>
                  </a:lnTo>
                  <a:lnTo>
                    <a:pt x="1032182" y="1117534"/>
                  </a:lnTo>
                  <a:lnTo>
                    <a:pt x="1029077" y="1107371"/>
                  </a:lnTo>
                  <a:cubicBezTo>
                    <a:pt x="1029077" y="1075015"/>
                    <a:pt x="1042192" y="1045722"/>
                    <a:pt x="1063396" y="1024518"/>
                  </a:cubicBezTo>
                  <a:lnTo>
                    <a:pt x="1066851" y="1022189"/>
                  </a:lnTo>
                  <a:lnTo>
                    <a:pt x="1426642" y="662397"/>
                  </a:lnTo>
                  <a:cubicBezTo>
                    <a:pt x="1472401" y="616638"/>
                    <a:pt x="1546590" y="616638"/>
                    <a:pt x="1592348" y="662397"/>
                  </a:cubicBezTo>
                  <a:cubicBezTo>
                    <a:pt x="1638107" y="708155"/>
                    <a:pt x="1638107" y="782345"/>
                    <a:pt x="1592348" y="828103"/>
                  </a:cubicBezTo>
                  <a:lnTo>
                    <a:pt x="1430252" y="990199"/>
                  </a:lnTo>
                  <a:lnTo>
                    <a:pt x="2743390" y="990199"/>
                  </a:lnTo>
                  <a:cubicBezTo>
                    <a:pt x="2808102" y="990199"/>
                    <a:pt x="2860562" y="1042659"/>
                    <a:pt x="2860562" y="1107371"/>
                  </a:cubicBezTo>
                  <a:close/>
                  <a:moveTo>
                    <a:pt x="3334103" y="1052131"/>
                  </a:moveTo>
                  <a:lnTo>
                    <a:pt x="3334103" y="3191951"/>
                  </a:lnTo>
                  <a:cubicBezTo>
                    <a:pt x="3334103" y="3256663"/>
                    <a:pt x="3281643" y="3309123"/>
                    <a:pt x="3216931" y="3309123"/>
                  </a:cubicBezTo>
                  <a:cubicBezTo>
                    <a:pt x="3152219" y="3309123"/>
                    <a:pt x="3099759" y="3256663"/>
                    <a:pt x="3099759" y="3191951"/>
                  </a:cubicBezTo>
                  <a:lnTo>
                    <a:pt x="3099759" y="1052131"/>
                  </a:lnTo>
                  <a:cubicBezTo>
                    <a:pt x="3099759" y="987419"/>
                    <a:pt x="3152219" y="934959"/>
                    <a:pt x="3216931" y="934959"/>
                  </a:cubicBezTo>
                  <a:cubicBezTo>
                    <a:pt x="3281643" y="934959"/>
                    <a:pt x="3334103" y="987419"/>
                    <a:pt x="3334103" y="1052131"/>
                  </a:cubicBezTo>
                  <a:close/>
                  <a:moveTo>
                    <a:pt x="3984408" y="2125436"/>
                  </a:moveTo>
                  <a:cubicBezTo>
                    <a:pt x="3984408" y="1098754"/>
                    <a:pt x="3152119" y="266464"/>
                    <a:pt x="2125437" y="266463"/>
                  </a:cubicBezTo>
                  <a:cubicBezTo>
                    <a:pt x="1098755" y="266463"/>
                    <a:pt x="266465" y="1098753"/>
                    <a:pt x="266465" y="2125435"/>
                  </a:cubicBezTo>
                  <a:cubicBezTo>
                    <a:pt x="266464" y="3152118"/>
                    <a:pt x="1098755" y="3984408"/>
                    <a:pt x="2125437" y="3984408"/>
                  </a:cubicBezTo>
                  <a:cubicBezTo>
                    <a:pt x="3152119" y="3984408"/>
                    <a:pt x="3984408" y="3152118"/>
                    <a:pt x="3984408" y="2125436"/>
                  </a:cubicBezTo>
                  <a:close/>
                  <a:moveTo>
                    <a:pt x="4250871" y="2125437"/>
                  </a:moveTo>
                  <a:cubicBezTo>
                    <a:pt x="4250871" y="3299283"/>
                    <a:pt x="3299282" y="4250873"/>
                    <a:pt x="2125436" y="4250873"/>
                  </a:cubicBezTo>
                  <a:cubicBezTo>
                    <a:pt x="951589" y="4250873"/>
                    <a:pt x="-1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ubicBezTo>
                    <a:pt x="3299282" y="1"/>
                    <a:pt x="4250871" y="951591"/>
                    <a:pt x="4250871" y="2125437"/>
                  </a:cubicBezTo>
                  <a:close/>
                </a:path>
              </a:pathLst>
            </a:cu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0" name="Agrupar 5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GrpSpPr/>
        </xdr:nvGrpSpPr>
        <xdr:grpSpPr>
          <a:xfrm>
            <a:off x="8233479" y="123825"/>
            <a:ext cx="1268332" cy="243701"/>
            <a:chOff x="7056922" y="88944"/>
            <a:chExt cx="1271770" cy="243701"/>
          </a:xfrm>
        </xdr:grpSpPr>
        <xdr:sp macro="" textlink="">
          <xdr:nvSpPr>
            <xdr:cNvPr id="74" name="Retângulo: Cantos Arredondados 73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00000000-0008-0000-0300-00004A000000}"/>
                </a:ext>
              </a:extLst>
            </xdr:cNvPr>
            <xdr:cNvSpPr/>
          </xdr:nvSpPr>
          <xdr:spPr>
            <a:xfrm>
              <a:off x="7056922" y="88944"/>
              <a:ext cx="127177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Combinações</a:t>
              </a:r>
            </a:p>
          </xdr:txBody>
        </xdr:sp>
        <xdr:sp macro="" textlink="">
          <xdr:nvSpPr>
            <xdr:cNvPr id="75" name="Forma Livre: Forma 74">
              <a:extLst>
                <a:ext uri="{FF2B5EF4-FFF2-40B4-BE49-F238E27FC236}">
                  <a16:creationId xmlns:a16="http://schemas.microsoft.com/office/drawing/2014/main" id="{00000000-0008-0000-0300-00004B000000}"/>
                </a:ext>
              </a:extLst>
            </xdr:cNvPr>
            <xdr:cNvSpPr>
              <a:spLocks noChangeAspect="1"/>
            </xdr:cNvSpPr>
          </xdr:nvSpPr>
          <xdr:spPr>
            <a:xfrm>
              <a:off x="7119137" y="117836"/>
              <a:ext cx="185995" cy="180000"/>
            </a:xfrm>
            <a:custGeom>
              <a:avLst/>
              <a:gdLst>
                <a:gd name="connsiteX0" fmla="*/ 2278531 w 3569686"/>
                <a:gd name="connsiteY0" fmla="*/ 2328860 h 3454629"/>
                <a:gd name="connsiteX1" fmla="*/ 2194294 w 3569686"/>
                <a:gd name="connsiteY1" fmla="*/ 2363873 h 3454629"/>
                <a:gd name="connsiteX2" fmla="*/ 1775189 w 3569686"/>
                <a:gd name="connsiteY2" fmla="*/ 2437837 h 3454629"/>
                <a:gd name="connsiteX3" fmla="*/ 1300731 w 3569686"/>
                <a:gd name="connsiteY3" fmla="*/ 2342048 h 3454629"/>
                <a:gd name="connsiteX4" fmla="*/ 1289766 w 3569686"/>
                <a:gd name="connsiteY4" fmla="*/ 2336766 h 3454629"/>
                <a:gd name="connsiteX5" fmla="*/ 1290167 w 3569686"/>
                <a:gd name="connsiteY5" fmla="*/ 2344713 h 3454629"/>
                <a:gd name="connsiteX6" fmla="*/ 1633943 w 3569686"/>
                <a:gd name="connsiteY6" fmla="*/ 3024860 h 3454629"/>
                <a:gd name="connsiteX7" fmla="*/ 1767728 w 3569686"/>
                <a:gd name="connsiteY7" fmla="*/ 3126135 h 3454629"/>
                <a:gd name="connsiteX8" fmla="*/ 1814987 w 3569686"/>
                <a:gd name="connsiteY8" fmla="*/ 3097424 h 3454629"/>
                <a:gd name="connsiteX9" fmla="*/ 2263363 w 3569686"/>
                <a:gd name="connsiteY9" fmla="*/ 2428251 h 3454629"/>
                <a:gd name="connsiteX10" fmla="*/ 2982129 w 3569686"/>
                <a:gd name="connsiteY10" fmla="*/ 1380800 h 3454629"/>
                <a:gd name="connsiteX11" fmla="*/ 2969344 w 3569686"/>
                <a:gd name="connsiteY11" fmla="*/ 1464573 h 3454629"/>
                <a:gd name="connsiteX12" fmla="*/ 2550535 w 3569686"/>
                <a:gd name="connsiteY12" fmla="*/ 2159495 h 3454629"/>
                <a:gd name="connsiteX13" fmla="*/ 2436571 w 3569686"/>
                <a:gd name="connsiteY13" fmla="*/ 2238469 h 3454629"/>
                <a:gd name="connsiteX14" fmla="*/ 2431544 w 3569686"/>
                <a:gd name="connsiteY14" fmla="*/ 2338022 h 3454629"/>
                <a:gd name="connsiteX15" fmla="*/ 1994264 w 3569686"/>
                <a:gd name="connsiteY15" fmla="*/ 3153971 h 3454629"/>
                <a:gd name="connsiteX16" fmla="*/ 1919588 w 3569686"/>
                <a:gd name="connsiteY16" fmla="*/ 3209813 h 3454629"/>
                <a:gd name="connsiteX17" fmla="*/ 1959854 w 3569686"/>
                <a:gd name="connsiteY17" fmla="*/ 3227866 h 3454629"/>
                <a:gd name="connsiteX18" fmla="*/ 2350767 w 3569686"/>
                <a:gd name="connsiteY18" fmla="*/ 3301814 h 3454629"/>
                <a:gd name="connsiteX19" fmla="*/ 3416871 w 3569686"/>
                <a:gd name="connsiteY19" fmla="*/ 2235710 h 3454629"/>
                <a:gd name="connsiteX20" fmla="*/ 3104616 w 3569686"/>
                <a:gd name="connsiteY20" fmla="*/ 1481861 h 3454629"/>
                <a:gd name="connsiteX21" fmla="*/ 565923 w 3569686"/>
                <a:gd name="connsiteY21" fmla="*/ 1371932 h 3454629"/>
                <a:gd name="connsiteX22" fmla="*/ 540777 w 3569686"/>
                <a:gd name="connsiteY22" fmla="*/ 1390737 h 3454629"/>
                <a:gd name="connsiteX23" fmla="*/ 152814 w 3569686"/>
                <a:gd name="connsiteY23" fmla="*/ 2213394 h 3454629"/>
                <a:gd name="connsiteX24" fmla="*/ 1218918 w 3569686"/>
                <a:gd name="connsiteY24" fmla="*/ 3279498 h 3454629"/>
                <a:gd name="connsiteX25" fmla="*/ 1535945 w 3569686"/>
                <a:gd name="connsiteY25" fmla="*/ 3231568 h 3454629"/>
                <a:gd name="connsiteX26" fmla="*/ 1610884 w 3569686"/>
                <a:gd name="connsiteY26" fmla="*/ 3204140 h 3454629"/>
                <a:gd name="connsiteX27" fmla="*/ 1531194 w 3569686"/>
                <a:gd name="connsiteY27" fmla="*/ 3137976 h 3454629"/>
                <a:gd name="connsiteX28" fmla="*/ 1138142 w 3569686"/>
                <a:gd name="connsiteY28" fmla="*/ 2360338 h 3454629"/>
                <a:gd name="connsiteX29" fmla="*/ 1132742 w 3569686"/>
                <a:gd name="connsiteY29" fmla="*/ 2253396 h 3454629"/>
                <a:gd name="connsiteX30" fmla="*/ 1093680 w 3569686"/>
                <a:gd name="connsiteY30" fmla="*/ 2229665 h 3454629"/>
                <a:gd name="connsiteX31" fmla="*/ 566064 w 3569686"/>
                <a:gd name="connsiteY31" fmla="*/ 1374164 h 3454629"/>
                <a:gd name="connsiteX32" fmla="*/ 1802664 w 3569686"/>
                <a:gd name="connsiteY32" fmla="*/ 1321878 h 3454629"/>
                <a:gd name="connsiteX33" fmla="*/ 1787007 w 3569686"/>
                <a:gd name="connsiteY33" fmla="*/ 1330692 h 3454629"/>
                <a:gd name="connsiteX34" fmla="*/ 1290167 w 3569686"/>
                <a:gd name="connsiteY34" fmla="*/ 2126707 h 3454629"/>
                <a:gd name="connsiteX35" fmla="*/ 1288156 w 3569686"/>
                <a:gd name="connsiteY35" fmla="*/ 2166531 h 3454629"/>
                <a:gd name="connsiteX36" fmla="*/ 1360213 w 3569686"/>
                <a:gd name="connsiteY36" fmla="*/ 2201242 h 3454629"/>
                <a:gd name="connsiteX37" fmla="*/ 1775189 w 3569686"/>
                <a:gd name="connsiteY37" fmla="*/ 2285022 h 3454629"/>
                <a:gd name="connsiteX38" fmla="*/ 2254778 w 3569686"/>
                <a:gd name="connsiteY38" fmla="*/ 2171317 h 3454629"/>
                <a:gd name="connsiteX39" fmla="*/ 2282120 w 3569686"/>
                <a:gd name="connsiteY39" fmla="*/ 2155926 h 3454629"/>
                <a:gd name="connsiteX40" fmla="*/ 2279518 w 3569686"/>
                <a:gd name="connsiteY40" fmla="*/ 2104391 h 3454629"/>
                <a:gd name="connsiteX41" fmla="*/ 1814987 w 3569686"/>
                <a:gd name="connsiteY41" fmla="*/ 1329364 h 3454629"/>
                <a:gd name="connsiteX42" fmla="*/ 2350767 w 3569686"/>
                <a:gd name="connsiteY42" fmla="*/ 1169606 h 3454629"/>
                <a:gd name="connsiteX43" fmla="*/ 1959854 w 3569686"/>
                <a:gd name="connsiteY43" fmla="*/ 1243555 h 3454629"/>
                <a:gd name="connsiteX44" fmla="*/ 1956901 w 3569686"/>
                <a:gd name="connsiteY44" fmla="*/ 1244879 h 3454629"/>
                <a:gd name="connsiteX45" fmla="*/ 1994264 w 3569686"/>
                <a:gd name="connsiteY45" fmla="*/ 1272818 h 3454629"/>
                <a:gd name="connsiteX46" fmla="*/ 2413073 w 3569686"/>
                <a:gd name="connsiteY46" fmla="*/ 1967740 h 3454629"/>
                <a:gd name="connsiteX47" fmla="*/ 2426766 w 3569686"/>
                <a:gd name="connsiteY47" fmla="*/ 2057460 h 3454629"/>
                <a:gd name="connsiteX48" fmla="*/ 2492013 w 3569686"/>
                <a:gd name="connsiteY48" fmla="*/ 2008067 h 3454629"/>
                <a:gd name="connsiteX49" fmla="*/ 2835789 w 3569686"/>
                <a:gd name="connsiteY49" fmla="*/ 1327921 h 3454629"/>
                <a:gd name="connsiteX50" fmla="*/ 2837800 w 3569686"/>
                <a:gd name="connsiteY50" fmla="*/ 1288098 h 3454629"/>
                <a:gd name="connsiteX51" fmla="*/ 2765743 w 3569686"/>
                <a:gd name="connsiteY51" fmla="*/ 1253386 h 3454629"/>
                <a:gd name="connsiteX52" fmla="*/ 2350767 w 3569686"/>
                <a:gd name="connsiteY52" fmla="*/ 1169606 h 3454629"/>
                <a:gd name="connsiteX53" fmla="*/ 1218918 w 3569686"/>
                <a:gd name="connsiteY53" fmla="*/ 1147290 h 3454629"/>
                <a:gd name="connsiteX54" fmla="*/ 803942 w 3569686"/>
                <a:gd name="connsiteY54" fmla="*/ 1231070 h 3454629"/>
                <a:gd name="connsiteX55" fmla="*/ 711937 w 3569686"/>
                <a:gd name="connsiteY55" fmla="*/ 1275391 h 3454629"/>
                <a:gd name="connsiteX56" fmla="*/ 714589 w 3569686"/>
                <a:gd name="connsiteY56" fmla="*/ 1327921 h 3454629"/>
                <a:gd name="connsiteX57" fmla="*/ 1021340 w 3569686"/>
                <a:gd name="connsiteY57" fmla="*/ 1972767 h 3454629"/>
                <a:gd name="connsiteX58" fmla="*/ 1143828 w 3569686"/>
                <a:gd name="connsiteY58" fmla="*/ 2073829 h 3454629"/>
                <a:gd name="connsiteX59" fmla="*/ 1156613 w 3569686"/>
                <a:gd name="connsiteY59" fmla="*/ 1990056 h 3454629"/>
                <a:gd name="connsiteX60" fmla="*/ 1575422 w 3569686"/>
                <a:gd name="connsiteY60" fmla="*/ 1295134 h 3454629"/>
                <a:gd name="connsiteX61" fmla="*/ 1653937 w 3569686"/>
                <a:gd name="connsiteY61" fmla="*/ 1240725 h 3454629"/>
                <a:gd name="connsiteX62" fmla="*/ 1633894 w 3569686"/>
                <a:gd name="connsiteY62" fmla="*/ 1231070 h 3454629"/>
                <a:gd name="connsiteX63" fmla="*/ 1218918 w 3569686"/>
                <a:gd name="connsiteY63" fmla="*/ 1147290 h 3454629"/>
                <a:gd name="connsiteX64" fmla="*/ 1775189 w 3569686"/>
                <a:gd name="connsiteY64" fmla="*/ 152814 h 3454629"/>
                <a:gd name="connsiteX65" fmla="*/ 730744 w 3569686"/>
                <a:gd name="connsiteY65" fmla="*/ 1004061 h 3454629"/>
                <a:gd name="connsiteX66" fmla="*/ 715456 w 3569686"/>
                <a:gd name="connsiteY66" fmla="*/ 1104237 h 3454629"/>
                <a:gd name="connsiteX67" fmla="*/ 744460 w 3569686"/>
                <a:gd name="connsiteY67" fmla="*/ 1090265 h 3454629"/>
                <a:gd name="connsiteX68" fmla="*/ 1218919 w 3569686"/>
                <a:gd name="connsiteY68" fmla="*/ 994476 h 3454629"/>
                <a:gd name="connsiteX69" fmla="*/ 1799928 w 3569686"/>
                <a:gd name="connsiteY69" fmla="*/ 1141593 h 3454629"/>
                <a:gd name="connsiteX70" fmla="*/ 1806707 w 3569686"/>
                <a:gd name="connsiteY70" fmla="*/ 1145712 h 3454629"/>
                <a:gd name="connsiteX71" fmla="*/ 1835682 w 3569686"/>
                <a:gd name="connsiteY71" fmla="*/ 1130650 h 3454629"/>
                <a:gd name="connsiteX72" fmla="*/ 2350767 w 3569686"/>
                <a:gd name="connsiteY72" fmla="*/ 1016792 h 3454629"/>
                <a:gd name="connsiteX73" fmla="*/ 2825226 w 3569686"/>
                <a:gd name="connsiteY73" fmla="*/ 1112581 h 3454629"/>
                <a:gd name="connsiteX74" fmla="*/ 2836190 w 3569686"/>
                <a:gd name="connsiteY74" fmla="*/ 1117863 h 3454629"/>
                <a:gd name="connsiteX75" fmla="*/ 2835789 w 3569686"/>
                <a:gd name="connsiteY75" fmla="*/ 1109915 h 3454629"/>
                <a:gd name="connsiteX76" fmla="*/ 1775189 w 3569686"/>
                <a:gd name="connsiteY76" fmla="*/ 152814 h 3454629"/>
                <a:gd name="connsiteX77" fmla="*/ 1775189 w 3569686"/>
                <a:gd name="connsiteY77" fmla="*/ 0 h 3454629"/>
                <a:gd name="connsiteX78" fmla="*/ 2987815 w 3569686"/>
                <a:gd name="connsiteY78" fmla="*/ 1094291 h 3454629"/>
                <a:gd name="connsiteX79" fmla="*/ 2993215 w 3569686"/>
                <a:gd name="connsiteY79" fmla="*/ 1201234 h 3454629"/>
                <a:gd name="connsiteX80" fmla="*/ 3032277 w 3569686"/>
                <a:gd name="connsiteY80" fmla="*/ 1224964 h 3454629"/>
                <a:gd name="connsiteX81" fmla="*/ 3569686 w 3569686"/>
                <a:gd name="connsiteY81" fmla="*/ 2235711 h 3454629"/>
                <a:gd name="connsiteX82" fmla="*/ 2350767 w 3569686"/>
                <a:gd name="connsiteY82" fmla="*/ 3454629 h 3454629"/>
                <a:gd name="connsiteX83" fmla="*/ 1802434 w 3569686"/>
                <a:gd name="connsiteY83" fmla="*/ 3324626 h 3454629"/>
                <a:gd name="connsiteX84" fmla="*/ 1763533 w 3569686"/>
                <a:gd name="connsiteY84" fmla="*/ 3302729 h 3454629"/>
                <a:gd name="connsiteX85" fmla="*/ 1693377 w 3569686"/>
                <a:gd name="connsiteY85" fmla="*/ 3336525 h 3454629"/>
                <a:gd name="connsiteX86" fmla="*/ 1218919 w 3569686"/>
                <a:gd name="connsiteY86" fmla="*/ 3432313 h 3454629"/>
                <a:gd name="connsiteX87" fmla="*/ 0 w 3569686"/>
                <a:gd name="connsiteY87" fmla="*/ 2213395 h 3454629"/>
                <a:gd name="connsiteX88" fmla="*/ 537410 w 3569686"/>
                <a:gd name="connsiteY88" fmla="*/ 1202648 h 3454629"/>
                <a:gd name="connsiteX89" fmla="*/ 557716 w 3569686"/>
                <a:gd name="connsiteY89" fmla="*/ 1190312 h 3454629"/>
                <a:gd name="connsiteX90" fmla="*/ 562564 w 3569686"/>
                <a:gd name="connsiteY90" fmla="*/ 1094291 h 3454629"/>
                <a:gd name="connsiteX91" fmla="*/ 1775189 w 3569686"/>
                <a:gd name="connsiteY91" fmla="*/ 0 h 345462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</a:cxnLst>
              <a:rect l="l" t="t" r="r" b="b"/>
              <a:pathLst>
                <a:path w="3569686" h="3454629">
                  <a:moveTo>
                    <a:pt x="2278531" y="2328860"/>
                  </a:moveTo>
                  <a:lnTo>
                    <a:pt x="2194294" y="2363873"/>
                  </a:lnTo>
                  <a:cubicBezTo>
                    <a:pt x="2063611" y="2411723"/>
                    <a:pt x="1922450" y="2437837"/>
                    <a:pt x="1775189" y="2437837"/>
                  </a:cubicBezTo>
                  <a:cubicBezTo>
                    <a:pt x="1606892" y="2437837"/>
                    <a:pt x="1446560" y="2403729"/>
                    <a:pt x="1300731" y="2342048"/>
                  </a:cubicBezTo>
                  <a:lnTo>
                    <a:pt x="1289766" y="2336766"/>
                  </a:lnTo>
                  <a:lnTo>
                    <a:pt x="1290167" y="2344713"/>
                  </a:lnTo>
                  <a:cubicBezTo>
                    <a:pt x="1317465" y="2613508"/>
                    <a:pt x="1444616" y="2852783"/>
                    <a:pt x="1633943" y="3024860"/>
                  </a:cubicBezTo>
                  <a:lnTo>
                    <a:pt x="1767728" y="3126135"/>
                  </a:lnTo>
                  <a:lnTo>
                    <a:pt x="1814987" y="3097424"/>
                  </a:lnTo>
                  <a:cubicBezTo>
                    <a:pt x="2041855" y="2944155"/>
                    <a:pt x="2206557" y="2705855"/>
                    <a:pt x="2263363" y="2428251"/>
                  </a:cubicBezTo>
                  <a:close/>
                  <a:moveTo>
                    <a:pt x="2982129" y="1380800"/>
                  </a:moveTo>
                  <a:lnTo>
                    <a:pt x="2969344" y="1464573"/>
                  </a:lnTo>
                  <a:cubicBezTo>
                    <a:pt x="2912514" y="1742294"/>
                    <a:pt x="2761236" y="1985609"/>
                    <a:pt x="2550535" y="2159495"/>
                  </a:cubicBezTo>
                  <a:lnTo>
                    <a:pt x="2436571" y="2238469"/>
                  </a:lnTo>
                  <a:lnTo>
                    <a:pt x="2431544" y="2338022"/>
                  </a:lnTo>
                  <a:cubicBezTo>
                    <a:pt x="2398253" y="2665834"/>
                    <a:pt x="2235065" y="2955245"/>
                    <a:pt x="1994264" y="3153971"/>
                  </a:cubicBezTo>
                  <a:lnTo>
                    <a:pt x="1919588" y="3209813"/>
                  </a:lnTo>
                  <a:lnTo>
                    <a:pt x="1959854" y="3227866"/>
                  </a:lnTo>
                  <a:cubicBezTo>
                    <a:pt x="2080894" y="3275595"/>
                    <a:pt x="2212769" y="3301814"/>
                    <a:pt x="2350767" y="3301814"/>
                  </a:cubicBezTo>
                  <a:cubicBezTo>
                    <a:pt x="2939560" y="3301814"/>
                    <a:pt x="3416871" y="2824503"/>
                    <a:pt x="3416871" y="2235710"/>
                  </a:cubicBezTo>
                  <a:cubicBezTo>
                    <a:pt x="3416871" y="1941314"/>
                    <a:pt x="3297543" y="1674788"/>
                    <a:pt x="3104616" y="1481861"/>
                  </a:cubicBezTo>
                  <a:close/>
                  <a:moveTo>
                    <a:pt x="565923" y="1371932"/>
                  </a:moveTo>
                  <a:lnTo>
                    <a:pt x="540777" y="1390737"/>
                  </a:lnTo>
                  <a:cubicBezTo>
                    <a:pt x="303838" y="1586276"/>
                    <a:pt x="152814" y="1882198"/>
                    <a:pt x="152814" y="2213394"/>
                  </a:cubicBezTo>
                  <a:cubicBezTo>
                    <a:pt x="152814" y="2802187"/>
                    <a:pt x="630125" y="3279498"/>
                    <a:pt x="1218918" y="3279498"/>
                  </a:cubicBezTo>
                  <a:cubicBezTo>
                    <a:pt x="1329317" y="3279498"/>
                    <a:pt x="1435796" y="3262718"/>
                    <a:pt x="1535945" y="3231568"/>
                  </a:cubicBezTo>
                  <a:lnTo>
                    <a:pt x="1610884" y="3204140"/>
                  </a:lnTo>
                  <a:lnTo>
                    <a:pt x="1531194" y="3137976"/>
                  </a:lnTo>
                  <a:cubicBezTo>
                    <a:pt x="1314730" y="2941234"/>
                    <a:pt x="1169353" y="2667662"/>
                    <a:pt x="1138142" y="2360338"/>
                  </a:cubicBezTo>
                  <a:lnTo>
                    <a:pt x="1132742" y="2253396"/>
                  </a:lnTo>
                  <a:lnTo>
                    <a:pt x="1093680" y="2229665"/>
                  </a:lnTo>
                  <a:cubicBezTo>
                    <a:pt x="809975" y="2037998"/>
                    <a:pt x="611300" y="1730027"/>
                    <a:pt x="566064" y="1374164"/>
                  </a:cubicBezTo>
                  <a:close/>
                  <a:moveTo>
                    <a:pt x="1802664" y="1321878"/>
                  </a:moveTo>
                  <a:lnTo>
                    <a:pt x="1787007" y="1330692"/>
                  </a:lnTo>
                  <a:cubicBezTo>
                    <a:pt x="1514433" y="1500845"/>
                    <a:pt x="1324289" y="1790714"/>
                    <a:pt x="1290167" y="2126707"/>
                  </a:cubicBezTo>
                  <a:lnTo>
                    <a:pt x="1288156" y="2166531"/>
                  </a:lnTo>
                  <a:lnTo>
                    <a:pt x="1360213" y="2201242"/>
                  </a:lnTo>
                  <a:cubicBezTo>
                    <a:pt x="1487760" y="2255190"/>
                    <a:pt x="1627991" y="2285022"/>
                    <a:pt x="1775189" y="2285022"/>
                  </a:cubicBezTo>
                  <a:cubicBezTo>
                    <a:pt x="1947687" y="2285022"/>
                    <a:pt x="2110616" y="2244054"/>
                    <a:pt x="2254778" y="2171317"/>
                  </a:cubicBezTo>
                  <a:lnTo>
                    <a:pt x="2282120" y="2155926"/>
                  </a:lnTo>
                  <a:lnTo>
                    <a:pt x="2279518" y="2104391"/>
                  </a:lnTo>
                  <a:cubicBezTo>
                    <a:pt x="2246761" y="1781838"/>
                    <a:pt x="2070214" y="1501792"/>
                    <a:pt x="1814987" y="1329364"/>
                  </a:cubicBezTo>
                  <a:close/>
                  <a:moveTo>
                    <a:pt x="2350767" y="1169606"/>
                  </a:moveTo>
                  <a:cubicBezTo>
                    <a:pt x="2212769" y="1169606"/>
                    <a:pt x="2080894" y="1195826"/>
                    <a:pt x="1959854" y="1243555"/>
                  </a:cubicBezTo>
                  <a:lnTo>
                    <a:pt x="1956901" y="1244879"/>
                  </a:lnTo>
                  <a:lnTo>
                    <a:pt x="1994264" y="1272818"/>
                  </a:lnTo>
                  <a:cubicBezTo>
                    <a:pt x="2204965" y="1446704"/>
                    <a:pt x="2356243" y="1690020"/>
                    <a:pt x="2413073" y="1967740"/>
                  </a:cubicBezTo>
                  <a:lnTo>
                    <a:pt x="2426766" y="2057460"/>
                  </a:lnTo>
                  <a:lnTo>
                    <a:pt x="2492013" y="2008067"/>
                  </a:lnTo>
                  <a:cubicBezTo>
                    <a:pt x="2681340" y="1835991"/>
                    <a:pt x="2808492" y="1596716"/>
                    <a:pt x="2835789" y="1327921"/>
                  </a:cubicBezTo>
                  <a:lnTo>
                    <a:pt x="2837800" y="1288098"/>
                  </a:lnTo>
                  <a:lnTo>
                    <a:pt x="2765743" y="1253386"/>
                  </a:lnTo>
                  <a:cubicBezTo>
                    <a:pt x="2638196" y="1199438"/>
                    <a:pt x="2497965" y="1169606"/>
                    <a:pt x="2350767" y="1169606"/>
                  </a:cubicBezTo>
                  <a:close/>
                  <a:moveTo>
                    <a:pt x="1218918" y="1147290"/>
                  </a:moveTo>
                  <a:cubicBezTo>
                    <a:pt x="1071720" y="1147290"/>
                    <a:pt x="931489" y="1177122"/>
                    <a:pt x="803942" y="1231070"/>
                  </a:cubicBezTo>
                  <a:lnTo>
                    <a:pt x="711937" y="1275391"/>
                  </a:lnTo>
                  <a:lnTo>
                    <a:pt x="714589" y="1327921"/>
                  </a:lnTo>
                  <a:cubicBezTo>
                    <a:pt x="740067" y="1578796"/>
                    <a:pt x="852529" y="1803956"/>
                    <a:pt x="1021340" y="1972767"/>
                  </a:cubicBezTo>
                  <a:lnTo>
                    <a:pt x="1143828" y="2073829"/>
                  </a:lnTo>
                  <a:lnTo>
                    <a:pt x="1156613" y="1990056"/>
                  </a:lnTo>
                  <a:cubicBezTo>
                    <a:pt x="1213443" y="1712336"/>
                    <a:pt x="1364721" y="1469020"/>
                    <a:pt x="1575422" y="1295134"/>
                  </a:cubicBezTo>
                  <a:lnTo>
                    <a:pt x="1653937" y="1240725"/>
                  </a:lnTo>
                  <a:lnTo>
                    <a:pt x="1633894" y="1231070"/>
                  </a:lnTo>
                  <a:cubicBezTo>
                    <a:pt x="1506347" y="1177122"/>
                    <a:pt x="1366116" y="1147290"/>
                    <a:pt x="1218918" y="1147290"/>
                  </a:cubicBezTo>
                  <a:close/>
                  <a:moveTo>
                    <a:pt x="1775189" y="152814"/>
                  </a:moveTo>
                  <a:cubicBezTo>
                    <a:pt x="1259995" y="152814"/>
                    <a:pt x="830155" y="518255"/>
                    <a:pt x="730744" y="1004061"/>
                  </a:cubicBezTo>
                  <a:lnTo>
                    <a:pt x="715456" y="1104237"/>
                  </a:lnTo>
                  <a:lnTo>
                    <a:pt x="744460" y="1090265"/>
                  </a:lnTo>
                  <a:cubicBezTo>
                    <a:pt x="890290" y="1028584"/>
                    <a:pt x="1050621" y="994476"/>
                    <a:pt x="1218919" y="994476"/>
                  </a:cubicBezTo>
                  <a:cubicBezTo>
                    <a:pt x="1429291" y="994476"/>
                    <a:pt x="1627215" y="1047770"/>
                    <a:pt x="1799928" y="1141593"/>
                  </a:cubicBezTo>
                  <a:lnTo>
                    <a:pt x="1806707" y="1145712"/>
                  </a:lnTo>
                  <a:lnTo>
                    <a:pt x="1835682" y="1130650"/>
                  </a:lnTo>
                  <a:cubicBezTo>
                    <a:pt x="1992146" y="1057595"/>
                    <a:pt x="2166692" y="1016792"/>
                    <a:pt x="2350767" y="1016792"/>
                  </a:cubicBezTo>
                  <a:cubicBezTo>
                    <a:pt x="2519065" y="1016792"/>
                    <a:pt x="2679396" y="1050900"/>
                    <a:pt x="2825226" y="1112581"/>
                  </a:cubicBezTo>
                  <a:lnTo>
                    <a:pt x="2836190" y="1117863"/>
                  </a:lnTo>
                  <a:lnTo>
                    <a:pt x="2835789" y="1109915"/>
                  </a:lnTo>
                  <a:cubicBezTo>
                    <a:pt x="2781194" y="572326"/>
                    <a:pt x="2327182" y="152814"/>
                    <a:pt x="1775189" y="152814"/>
                  </a:cubicBezTo>
                  <a:close/>
                  <a:moveTo>
                    <a:pt x="1775189" y="0"/>
                  </a:moveTo>
                  <a:cubicBezTo>
                    <a:pt x="2406306" y="0"/>
                    <a:pt x="2925394" y="479644"/>
                    <a:pt x="2987815" y="1094291"/>
                  </a:cubicBezTo>
                  <a:lnTo>
                    <a:pt x="2993215" y="1201234"/>
                  </a:lnTo>
                  <a:lnTo>
                    <a:pt x="3032277" y="1224964"/>
                  </a:lnTo>
                  <a:cubicBezTo>
                    <a:pt x="3356511" y="1444013"/>
                    <a:pt x="3569686" y="1814967"/>
                    <a:pt x="3569686" y="2235711"/>
                  </a:cubicBezTo>
                  <a:cubicBezTo>
                    <a:pt x="3569686" y="2908901"/>
                    <a:pt x="3023958" y="3454629"/>
                    <a:pt x="2350767" y="3454629"/>
                  </a:cubicBezTo>
                  <a:cubicBezTo>
                    <a:pt x="2153543" y="3454629"/>
                    <a:pt x="1967260" y="3407789"/>
                    <a:pt x="1802434" y="3324626"/>
                  </a:cubicBezTo>
                  <a:lnTo>
                    <a:pt x="1763533" y="3302729"/>
                  </a:lnTo>
                  <a:lnTo>
                    <a:pt x="1693377" y="3336525"/>
                  </a:lnTo>
                  <a:cubicBezTo>
                    <a:pt x="1547548" y="3398205"/>
                    <a:pt x="1387217" y="3432313"/>
                    <a:pt x="1218919" y="3432313"/>
                  </a:cubicBezTo>
                  <a:cubicBezTo>
                    <a:pt x="545728" y="3432313"/>
                    <a:pt x="0" y="2886585"/>
                    <a:pt x="0" y="2213395"/>
                  </a:cubicBezTo>
                  <a:cubicBezTo>
                    <a:pt x="0" y="1792651"/>
                    <a:pt x="213175" y="1421697"/>
                    <a:pt x="537410" y="1202648"/>
                  </a:cubicBezTo>
                  <a:lnTo>
                    <a:pt x="557716" y="1190312"/>
                  </a:lnTo>
                  <a:lnTo>
                    <a:pt x="562564" y="1094291"/>
                  </a:lnTo>
                  <a:cubicBezTo>
                    <a:pt x="624985" y="479644"/>
                    <a:pt x="1144073" y="0"/>
                    <a:pt x="1775189" y="0"/>
                  </a:cubicBezTo>
                  <a:close/>
                </a:path>
              </a:pathLst>
            </a:custGeom>
            <a:solidFill>
              <a:schemeClr val="bg1"/>
            </a:solidFill>
            <a:ln w="190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1" name="Agrupar 6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GrpSpPr/>
        </xdr:nvGrpSpPr>
        <xdr:grpSpPr>
          <a:xfrm>
            <a:off x="9747845" y="123825"/>
            <a:ext cx="1201786" cy="243701"/>
            <a:chOff x="8375383" y="88944"/>
            <a:chExt cx="1206101" cy="243701"/>
          </a:xfrm>
        </xdr:grpSpPr>
        <xdr:sp macro="" textlink="">
          <xdr:nvSpPr>
            <xdr:cNvPr id="72" name="Retângulo: Cantos Arredondados 71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300-000048000000}"/>
                </a:ext>
              </a:extLst>
            </xdr:cNvPr>
            <xdr:cNvSpPr/>
          </xdr:nvSpPr>
          <xdr:spPr>
            <a:xfrm>
              <a:off x="8375383" y="88944"/>
              <a:ext cx="120610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Verificações</a:t>
              </a:r>
            </a:p>
          </xdr:txBody>
        </xdr:sp>
        <xdr:sp macro="" textlink="">
          <xdr:nvSpPr>
            <xdr:cNvPr id="73" name="Forma Livre: Forma 72">
              <a:extLst>
                <a:ext uri="{FF2B5EF4-FFF2-40B4-BE49-F238E27FC236}">
                  <a16:creationId xmlns:a16="http://schemas.microsoft.com/office/drawing/2014/main" id="{00000000-0008-0000-0300-000049000000}"/>
                </a:ext>
              </a:extLst>
            </xdr:cNvPr>
            <xdr:cNvSpPr>
              <a:spLocks noChangeAspect="1"/>
            </xdr:cNvSpPr>
          </xdr:nvSpPr>
          <xdr:spPr>
            <a:xfrm>
              <a:off x="8457315" y="108962"/>
              <a:ext cx="135198" cy="180000"/>
            </a:xfrm>
            <a:custGeom>
              <a:avLst/>
              <a:gdLst>
                <a:gd name="connsiteX0" fmla="*/ 1581153 w 2535787"/>
                <a:gd name="connsiteY0" fmla="*/ 2322953 h 3376090"/>
                <a:gd name="connsiteX1" fmla="*/ 1482262 w 2535787"/>
                <a:gd name="connsiteY1" fmla="*/ 2388502 h 3376090"/>
                <a:gd name="connsiteX2" fmla="*/ 1473828 w 2535787"/>
                <a:gd name="connsiteY2" fmla="*/ 2430278 h 3376090"/>
                <a:gd name="connsiteX3" fmla="*/ 1482262 w 2535787"/>
                <a:gd name="connsiteY3" fmla="*/ 2472053 h 3376090"/>
                <a:gd name="connsiteX4" fmla="*/ 1581153 w 2535787"/>
                <a:gd name="connsiteY4" fmla="*/ 2537602 h 3376090"/>
                <a:gd name="connsiteX5" fmla="*/ 2008482 w 2535787"/>
                <a:gd name="connsiteY5" fmla="*/ 2537603 h 3376090"/>
                <a:gd name="connsiteX6" fmla="*/ 2115807 w 2535787"/>
                <a:gd name="connsiteY6" fmla="*/ 2430278 h 3376090"/>
                <a:gd name="connsiteX7" fmla="*/ 2115808 w 2535787"/>
                <a:gd name="connsiteY7" fmla="*/ 2430278 h 3376090"/>
                <a:gd name="connsiteX8" fmla="*/ 2008483 w 2535787"/>
                <a:gd name="connsiteY8" fmla="*/ 2322953 h 3376090"/>
                <a:gd name="connsiteX9" fmla="*/ 1164301 w 2535787"/>
                <a:gd name="connsiteY9" fmla="*/ 2121918 h 3376090"/>
                <a:gd name="connsiteX10" fmla="*/ 1088411 w 2535787"/>
                <a:gd name="connsiteY10" fmla="*/ 2153353 h 3376090"/>
                <a:gd name="connsiteX11" fmla="*/ 744283 w 2535787"/>
                <a:gd name="connsiteY11" fmla="*/ 2497481 h 3376090"/>
                <a:gd name="connsiteX12" fmla="*/ 611461 w 2535787"/>
                <a:gd name="connsiteY12" fmla="*/ 2364660 h 3376090"/>
                <a:gd name="connsiteX13" fmla="*/ 495185 w 2535787"/>
                <a:gd name="connsiteY13" fmla="*/ 2341084 h 3376090"/>
                <a:gd name="connsiteX14" fmla="*/ 459682 w 2535787"/>
                <a:gd name="connsiteY14" fmla="*/ 2364660 h 3376090"/>
                <a:gd name="connsiteX15" fmla="*/ 459682 w 2535787"/>
                <a:gd name="connsiteY15" fmla="*/ 2364659 h 3376090"/>
                <a:gd name="connsiteX16" fmla="*/ 459681 w 2535787"/>
                <a:gd name="connsiteY16" fmla="*/ 2364660 h 3376090"/>
                <a:gd name="connsiteX17" fmla="*/ 459682 w 2535787"/>
                <a:gd name="connsiteY17" fmla="*/ 2364660 h 3376090"/>
                <a:gd name="connsiteX18" fmla="*/ 436106 w 2535787"/>
                <a:gd name="connsiteY18" fmla="*/ 2400163 h 3376090"/>
                <a:gd name="connsiteX19" fmla="*/ 459682 w 2535787"/>
                <a:gd name="connsiteY19" fmla="*/ 2516439 h 3376090"/>
                <a:gd name="connsiteX20" fmla="*/ 668391 w 2535787"/>
                <a:gd name="connsiteY20" fmla="*/ 2725151 h 3376090"/>
                <a:gd name="connsiteX21" fmla="*/ 820172 w 2535787"/>
                <a:gd name="connsiteY21" fmla="*/ 2725151 h 3376090"/>
                <a:gd name="connsiteX22" fmla="*/ 820173 w 2535787"/>
                <a:gd name="connsiteY22" fmla="*/ 2725151 h 3376090"/>
                <a:gd name="connsiteX23" fmla="*/ 820175 w 2535787"/>
                <a:gd name="connsiteY23" fmla="*/ 2725148 h 3376090"/>
                <a:gd name="connsiteX24" fmla="*/ 1240191 w 2535787"/>
                <a:gd name="connsiteY24" fmla="*/ 2305134 h 3376090"/>
                <a:gd name="connsiteX25" fmla="*/ 1240191 w 2535787"/>
                <a:gd name="connsiteY25" fmla="*/ 2153354 h 3376090"/>
                <a:gd name="connsiteX26" fmla="*/ 1240191 w 2535787"/>
                <a:gd name="connsiteY26" fmla="*/ 2153353 h 3376090"/>
                <a:gd name="connsiteX27" fmla="*/ 1164301 w 2535787"/>
                <a:gd name="connsiteY27" fmla="*/ 2121918 h 3376090"/>
                <a:gd name="connsiteX28" fmla="*/ 1581153 w 2535787"/>
                <a:gd name="connsiteY28" fmla="*/ 1473396 h 3376090"/>
                <a:gd name="connsiteX29" fmla="*/ 1482262 w 2535787"/>
                <a:gd name="connsiteY29" fmla="*/ 1538945 h 3376090"/>
                <a:gd name="connsiteX30" fmla="*/ 1473828 w 2535787"/>
                <a:gd name="connsiteY30" fmla="*/ 1580721 h 3376090"/>
                <a:gd name="connsiteX31" fmla="*/ 1482262 w 2535787"/>
                <a:gd name="connsiteY31" fmla="*/ 1622496 h 3376090"/>
                <a:gd name="connsiteX32" fmla="*/ 1581153 w 2535787"/>
                <a:gd name="connsiteY32" fmla="*/ 1688045 h 3376090"/>
                <a:gd name="connsiteX33" fmla="*/ 2008482 w 2535787"/>
                <a:gd name="connsiteY33" fmla="*/ 1688046 h 3376090"/>
                <a:gd name="connsiteX34" fmla="*/ 2115807 w 2535787"/>
                <a:gd name="connsiteY34" fmla="*/ 1580721 h 3376090"/>
                <a:gd name="connsiteX35" fmla="*/ 2115808 w 2535787"/>
                <a:gd name="connsiteY35" fmla="*/ 1580721 h 3376090"/>
                <a:gd name="connsiteX36" fmla="*/ 2008483 w 2535787"/>
                <a:gd name="connsiteY36" fmla="*/ 1473396 h 3376090"/>
                <a:gd name="connsiteX37" fmla="*/ 1164301 w 2535787"/>
                <a:gd name="connsiteY37" fmla="*/ 1272361 h 3376090"/>
                <a:gd name="connsiteX38" fmla="*/ 1088411 w 2535787"/>
                <a:gd name="connsiteY38" fmla="*/ 1303796 h 3376090"/>
                <a:gd name="connsiteX39" fmla="*/ 744283 w 2535787"/>
                <a:gd name="connsiteY39" fmla="*/ 1647924 h 3376090"/>
                <a:gd name="connsiteX40" fmla="*/ 611461 w 2535787"/>
                <a:gd name="connsiteY40" fmla="*/ 1515103 h 3376090"/>
                <a:gd name="connsiteX41" fmla="*/ 495185 w 2535787"/>
                <a:gd name="connsiteY41" fmla="*/ 1491527 h 3376090"/>
                <a:gd name="connsiteX42" fmla="*/ 459682 w 2535787"/>
                <a:gd name="connsiteY42" fmla="*/ 1515103 h 3376090"/>
                <a:gd name="connsiteX43" fmla="*/ 459682 w 2535787"/>
                <a:gd name="connsiteY43" fmla="*/ 1515102 h 3376090"/>
                <a:gd name="connsiteX44" fmla="*/ 459681 w 2535787"/>
                <a:gd name="connsiteY44" fmla="*/ 1515103 h 3376090"/>
                <a:gd name="connsiteX45" fmla="*/ 459682 w 2535787"/>
                <a:gd name="connsiteY45" fmla="*/ 1515103 h 3376090"/>
                <a:gd name="connsiteX46" fmla="*/ 436106 w 2535787"/>
                <a:gd name="connsiteY46" fmla="*/ 1550606 h 3376090"/>
                <a:gd name="connsiteX47" fmla="*/ 459682 w 2535787"/>
                <a:gd name="connsiteY47" fmla="*/ 1666882 h 3376090"/>
                <a:gd name="connsiteX48" fmla="*/ 668391 w 2535787"/>
                <a:gd name="connsiteY48" fmla="*/ 1875593 h 3376090"/>
                <a:gd name="connsiteX49" fmla="*/ 744282 w 2535787"/>
                <a:gd name="connsiteY49" fmla="*/ 1907028 h 3376090"/>
                <a:gd name="connsiteX50" fmla="*/ 744283 w 2535787"/>
                <a:gd name="connsiteY50" fmla="*/ 1907028 h 3376090"/>
                <a:gd name="connsiteX51" fmla="*/ 784669 w 2535787"/>
                <a:gd name="connsiteY51" fmla="*/ 1899169 h 3376090"/>
                <a:gd name="connsiteX52" fmla="*/ 820173 w 2535787"/>
                <a:gd name="connsiteY52" fmla="*/ 1875594 h 3376090"/>
                <a:gd name="connsiteX53" fmla="*/ 820175 w 2535787"/>
                <a:gd name="connsiteY53" fmla="*/ 1875591 h 3376090"/>
                <a:gd name="connsiteX54" fmla="*/ 1240191 w 2535787"/>
                <a:gd name="connsiteY54" fmla="*/ 1455577 h 3376090"/>
                <a:gd name="connsiteX55" fmla="*/ 1240191 w 2535787"/>
                <a:gd name="connsiteY55" fmla="*/ 1303797 h 3376090"/>
                <a:gd name="connsiteX56" fmla="*/ 1240191 w 2535787"/>
                <a:gd name="connsiteY56" fmla="*/ 1303796 h 3376090"/>
                <a:gd name="connsiteX57" fmla="*/ 1164301 w 2535787"/>
                <a:gd name="connsiteY57" fmla="*/ 1272361 h 3376090"/>
                <a:gd name="connsiteX58" fmla="*/ 224519 w 2535787"/>
                <a:gd name="connsiteY58" fmla="*/ 420258 h 3376090"/>
                <a:gd name="connsiteX59" fmla="*/ 419980 w 2535787"/>
                <a:gd name="connsiteY59" fmla="*/ 420258 h 3376090"/>
                <a:gd name="connsiteX60" fmla="*/ 419980 w 2535787"/>
                <a:gd name="connsiteY60" fmla="*/ 745536 h 3376090"/>
                <a:gd name="connsiteX61" fmla="*/ 727582 w 2535787"/>
                <a:gd name="connsiteY61" fmla="*/ 1053138 h 3376090"/>
                <a:gd name="connsiteX62" fmla="*/ 1808205 w 2535787"/>
                <a:gd name="connsiteY62" fmla="*/ 1053138 h 3376090"/>
                <a:gd name="connsiteX63" fmla="*/ 2115807 w 2535787"/>
                <a:gd name="connsiteY63" fmla="*/ 745536 h 3376090"/>
                <a:gd name="connsiteX64" fmla="*/ 2115807 w 2535787"/>
                <a:gd name="connsiteY64" fmla="*/ 420258 h 3376090"/>
                <a:gd name="connsiteX65" fmla="*/ 2311268 w 2535787"/>
                <a:gd name="connsiteY65" fmla="*/ 420258 h 3376090"/>
                <a:gd name="connsiteX66" fmla="*/ 2535787 w 2535787"/>
                <a:gd name="connsiteY66" fmla="*/ 644777 h 3376090"/>
                <a:gd name="connsiteX67" fmla="*/ 2535787 w 2535787"/>
                <a:gd name="connsiteY67" fmla="*/ 3151571 h 3376090"/>
                <a:gd name="connsiteX68" fmla="*/ 2311268 w 2535787"/>
                <a:gd name="connsiteY68" fmla="*/ 3376090 h 3376090"/>
                <a:gd name="connsiteX69" fmla="*/ 224519 w 2535787"/>
                <a:gd name="connsiteY69" fmla="*/ 3376090 h 3376090"/>
                <a:gd name="connsiteX70" fmla="*/ 0 w 2535787"/>
                <a:gd name="connsiteY70" fmla="*/ 3151571 h 3376090"/>
                <a:gd name="connsiteX71" fmla="*/ 0 w 2535787"/>
                <a:gd name="connsiteY71" fmla="*/ 644777 h 3376090"/>
                <a:gd name="connsiteX72" fmla="*/ 224519 w 2535787"/>
                <a:gd name="connsiteY72" fmla="*/ 420258 h 3376090"/>
                <a:gd name="connsiteX73" fmla="*/ 1267893 w 2535787"/>
                <a:gd name="connsiteY73" fmla="*/ 0 h 3376090"/>
                <a:gd name="connsiteX74" fmla="*/ 1559466 w 2535787"/>
                <a:gd name="connsiteY74" fmla="*/ 193267 h 3376090"/>
                <a:gd name="connsiteX75" fmla="*/ 1566164 w 2535787"/>
                <a:gd name="connsiteY75" fmla="*/ 214845 h 3376090"/>
                <a:gd name="connsiteX76" fmla="*/ 1796853 w 2535787"/>
                <a:gd name="connsiteY76" fmla="*/ 214845 h 3376090"/>
                <a:gd name="connsiteX77" fmla="*/ 1902335 w 2535787"/>
                <a:gd name="connsiteY77" fmla="*/ 320327 h 3376090"/>
                <a:gd name="connsiteX78" fmla="*/ 1902335 w 2535787"/>
                <a:gd name="connsiteY78" fmla="*/ 742243 h 3376090"/>
                <a:gd name="connsiteX79" fmla="*/ 1796853 w 2535787"/>
                <a:gd name="connsiteY79" fmla="*/ 847725 h 3376090"/>
                <a:gd name="connsiteX80" fmla="*/ 738934 w 2535787"/>
                <a:gd name="connsiteY80" fmla="*/ 847725 h 3376090"/>
                <a:gd name="connsiteX81" fmla="*/ 633452 w 2535787"/>
                <a:gd name="connsiteY81" fmla="*/ 742243 h 3376090"/>
                <a:gd name="connsiteX82" fmla="*/ 633452 w 2535787"/>
                <a:gd name="connsiteY82" fmla="*/ 320327 h 3376090"/>
                <a:gd name="connsiteX83" fmla="*/ 738934 w 2535787"/>
                <a:gd name="connsiteY83" fmla="*/ 214845 h 3376090"/>
                <a:gd name="connsiteX84" fmla="*/ 969623 w 2535787"/>
                <a:gd name="connsiteY84" fmla="*/ 214845 h 3376090"/>
                <a:gd name="connsiteX85" fmla="*/ 976321 w 2535787"/>
                <a:gd name="connsiteY85" fmla="*/ 193267 h 3376090"/>
                <a:gd name="connsiteX86" fmla="*/ 1267893 w 2535787"/>
                <a:gd name="connsiteY86" fmla="*/ 0 h 33760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</a:cxnLst>
              <a:rect l="l" t="t" r="r" b="b"/>
              <a:pathLst>
                <a:path w="2535787" h="3376090">
                  <a:moveTo>
                    <a:pt x="1581153" y="2322953"/>
                  </a:moveTo>
                  <a:cubicBezTo>
                    <a:pt x="1536698" y="2322953"/>
                    <a:pt x="1498555" y="2349982"/>
                    <a:pt x="1482262" y="2388502"/>
                  </a:cubicBezTo>
                  <a:lnTo>
                    <a:pt x="1473828" y="2430278"/>
                  </a:lnTo>
                  <a:lnTo>
                    <a:pt x="1482262" y="2472053"/>
                  </a:lnTo>
                  <a:cubicBezTo>
                    <a:pt x="1498555" y="2510574"/>
                    <a:pt x="1536698" y="2537602"/>
                    <a:pt x="1581153" y="2537602"/>
                  </a:cubicBezTo>
                  <a:lnTo>
                    <a:pt x="2008482" y="2537603"/>
                  </a:lnTo>
                  <a:cubicBezTo>
                    <a:pt x="2067756" y="2537603"/>
                    <a:pt x="2115807" y="2489552"/>
                    <a:pt x="2115807" y="2430278"/>
                  </a:cubicBezTo>
                  <a:lnTo>
                    <a:pt x="2115808" y="2430278"/>
                  </a:lnTo>
                  <a:cubicBezTo>
                    <a:pt x="2115808" y="2371004"/>
                    <a:pt x="2067757" y="2322953"/>
                    <a:pt x="2008483" y="2322953"/>
                  </a:cubicBezTo>
                  <a:close/>
                  <a:moveTo>
                    <a:pt x="1164301" y="2121918"/>
                  </a:moveTo>
                  <a:cubicBezTo>
                    <a:pt x="1136834" y="2121918"/>
                    <a:pt x="1109368" y="2132397"/>
                    <a:pt x="1088411" y="2153353"/>
                  </a:cubicBezTo>
                  <a:lnTo>
                    <a:pt x="744283" y="2497481"/>
                  </a:lnTo>
                  <a:lnTo>
                    <a:pt x="611461" y="2364660"/>
                  </a:lnTo>
                  <a:cubicBezTo>
                    <a:pt x="580026" y="2333225"/>
                    <a:pt x="533944" y="2325367"/>
                    <a:pt x="495185" y="2341084"/>
                  </a:cubicBezTo>
                  <a:lnTo>
                    <a:pt x="459682" y="2364660"/>
                  </a:lnTo>
                  <a:lnTo>
                    <a:pt x="459682" y="2364659"/>
                  </a:lnTo>
                  <a:lnTo>
                    <a:pt x="459681" y="2364660"/>
                  </a:lnTo>
                  <a:lnTo>
                    <a:pt x="459682" y="2364660"/>
                  </a:lnTo>
                  <a:lnTo>
                    <a:pt x="436106" y="2400163"/>
                  </a:lnTo>
                  <a:cubicBezTo>
                    <a:pt x="420389" y="2438922"/>
                    <a:pt x="428247" y="2485004"/>
                    <a:pt x="459682" y="2516439"/>
                  </a:cubicBezTo>
                  <a:lnTo>
                    <a:pt x="668391" y="2725151"/>
                  </a:lnTo>
                  <a:cubicBezTo>
                    <a:pt x="710304" y="2767064"/>
                    <a:pt x="778259" y="2767064"/>
                    <a:pt x="820172" y="2725151"/>
                  </a:cubicBezTo>
                  <a:lnTo>
                    <a:pt x="820173" y="2725151"/>
                  </a:lnTo>
                  <a:lnTo>
                    <a:pt x="820175" y="2725148"/>
                  </a:lnTo>
                  <a:lnTo>
                    <a:pt x="1240191" y="2305134"/>
                  </a:lnTo>
                  <a:cubicBezTo>
                    <a:pt x="1282104" y="2263221"/>
                    <a:pt x="1282104" y="2195267"/>
                    <a:pt x="1240191" y="2153354"/>
                  </a:cubicBezTo>
                  <a:lnTo>
                    <a:pt x="1240191" y="2153353"/>
                  </a:lnTo>
                  <a:cubicBezTo>
                    <a:pt x="1219235" y="2132397"/>
                    <a:pt x="1191768" y="2121918"/>
                    <a:pt x="1164301" y="2121918"/>
                  </a:cubicBezTo>
                  <a:close/>
                  <a:moveTo>
                    <a:pt x="1581153" y="1473396"/>
                  </a:moveTo>
                  <a:cubicBezTo>
                    <a:pt x="1536698" y="1473396"/>
                    <a:pt x="1498555" y="1500425"/>
                    <a:pt x="1482262" y="1538945"/>
                  </a:cubicBezTo>
                  <a:lnTo>
                    <a:pt x="1473828" y="1580721"/>
                  </a:lnTo>
                  <a:lnTo>
                    <a:pt x="1482262" y="1622496"/>
                  </a:lnTo>
                  <a:cubicBezTo>
                    <a:pt x="1498555" y="1661016"/>
                    <a:pt x="1536698" y="1688045"/>
                    <a:pt x="1581153" y="1688045"/>
                  </a:cubicBezTo>
                  <a:lnTo>
                    <a:pt x="2008482" y="1688046"/>
                  </a:lnTo>
                  <a:cubicBezTo>
                    <a:pt x="2067756" y="1688046"/>
                    <a:pt x="2115807" y="1639995"/>
                    <a:pt x="2115807" y="1580721"/>
                  </a:cubicBezTo>
                  <a:lnTo>
                    <a:pt x="2115808" y="1580721"/>
                  </a:lnTo>
                  <a:cubicBezTo>
                    <a:pt x="2115808" y="1521447"/>
                    <a:pt x="2067757" y="1473396"/>
                    <a:pt x="2008483" y="1473396"/>
                  </a:cubicBezTo>
                  <a:close/>
                  <a:moveTo>
                    <a:pt x="1164301" y="1272361"/>
                  </a:moveTo>
                  <a:cubicBezTo>
                    <a:pt x="1136834" y="1272361"/>
                    <a:pt x="1109368" y="1282840"/>
                    <a:pt x="1088411" y="1303796"/>
                  </a:cubicBezTo>
                  <a:lnTo>
                    <a:pt x="744283" y="1647924"/>
                  </a:lnTo>
                  <a:lnTo>
                    <a:pt x="611461" y="1515103"/>
                  </a:lnTo>
                  <a:cubicBezTo>
                    <a:pt x="580026" y="1483668"/>
                    <a:pt x="533944" y="1475810"/>
                    <a:pt x="495185" y="1491527"/>
                  </a:cubicBezTo>
                  <a:lnTo>
                    <a:pt x="459682" y="1515103"/>
                  </a:lnTo>
                  <a:lnTo>
                    <a:pt x="459682" y="1515102"/>
                  </a:lnTo>
                  <a:lnTo>
                    <a:pt x="459681" y="1515103"/>
                  </a:lnTo>
                  <a:lnTo>
                    <a:pt x="459682" y="1515103"/>
                  </a:lnTo>
                  <a:lnTo>
                    <a:pt x="436106" y="1550606"/>
                  </a:lnTo>
                  <a:cubicBezTo>
                    <a:pt x="420389" y="1589365"/>
                    <a:pt x="428247" y="1635447"/>
                    <a:pt x="459682" y="1666882"/>
                  </a:cubicBezTo>
                  <a:lnTo>
                    <a:pt x="668391" y="1875593"/>
                  </a:lnTo>
                  <a:cubicBezTo>
                    <a:pt x="689348" y="1896550"/>
                    <a:pt x="716815" y="1907028"/>
                    <a:pt x="744282" y="1907028"/>
                  </a:cubicBezTo>
                  <a:lnTo>
                    <a:pt x="744283" y="1907028"/>
                  </a:lnTo>
                  <a:cubicBezTo>
                    <a:pt x="758017" y="1907028"/>
                    <a:pt x="771750" y="1904408"/>
                    <a:pt x="784669" y="1899169"/>
                  </a:cubicBezTo>
                  <a:lnTo>
                    <a:pt x="820173" y="1875594"/>
                  </a:lnTo>
                  <a:lnTo>
                    <a:pt x="820175" y="1875591"/>
                  </a:lnTo>
                  <a:lnTo>
                    <a:pt x="1240191" y="1455577"/>
                  </a:lnTo>
                  <a:cubicBezTo>
                    <a:pt x="1282104" y="1413664"/>
                    <a:pt x="1282104" y="1345710"/>
                    <a:pt x="1240191" y="1303797"/>
                  </a:cubicBezTo>
                  <a:lnTo>
                    <a:pt x="1240191" y="1303796"/>
                  </a:lnTo>
                  <a:cubicBezTo>
                    <a:pt x="1219235" y="1282840"/>
                    <a:pt x="1191768" y="1272361"/>
                    <a:pt x="1164301" y="1272361"/>
                  </a:cubicBezTo>
                  <a:close/>
                  <a:moveTo>
                    <a:pt x="224519" y="420258"/>
                  </a:moveTo>
                  <a:lnTo>
                    <a:pt x="419980" y="420258"/>
                  </a:lnTo>
                  <a:lnTo>
                    <a:pt x="419980" y="745536"/>
                  </a:lnTo>
                  <a:cubicBezTo>
                    <a:pt x="419980" y="915420"/>
                    <a:pt x="557698" y="1053138"/>
                    <a:pt x="727582" y="1053138"/>
                  </a:cubicBezTo>
                  <a:lnTo>
                    <a:pt x="1808205" y="1053138"/>
                  </a:lnTo>
                  <a:cubicBezTo>
                    <a:pt x="1978089" y="1053138"/>
                    <a:pt x="2115807" y="915420"/>
                    <a:pt x="2115807" y="745536"/>
                  </a:cubicBezTo>
                  <a:lnTo>
                    <a:pt x="2115807" y="420258"/>
                  </a:lnTo>
                  <a:lnTo>
                    <a:pt x="2311268" y="420258"/>
                  </a:lnTo>
                  <a:cubicBezTo>
                    <a:pt x="2435266" y="420258"/>
                    <a:pt x="2535787" y="520779"/>
                    <a:pt x="2535787" y="644777"/>
                  </a:cubicBezTo>
                  <a:lnTo>
                    <a:pt x="2535787" y="3151571"/>
                  </a:lnTo>
                  <a:cubicBezTo>
                    <a:pt x="2535787" y="3275569"/>
                    <a:pt x="2435266" y="3376090"/>
                    <a:pt x="2311268" y="3376090"/>
                  </a:cubicBezTo>
                  <a:lnTo>
                    <a:pt x="224519" y="3376090"/>
                  </a:lnTo>
                  <a:cubicBezTo>
                    <a:pt x="100521" y="3376090"/>
                    <a:pt x="0" y="3275569"/>
                    <a:pt x="0" y="3151571"/>
                  </a:cubicBezTo>
                  <a:lnTo>
                    <a:pt x="0" y="644777"/>
                  </a:lnTo>
                  <a:cubicBezTo>
                    <a:pt x="0" y="520779"/>
                    <a:pt x="100521" y="420258"/>
                    <a:pt x="224519" y="420258"/>
                  </a:cubicBezTo>
                  <a:close/>
                  <a:moveTo>
                    <a:pt x="1267893" y="0"/>
                  </a:moveTo>
                  <a:cubicBezTo>
                    <a:pt x="1398967" y="0"/>
                    <a:pt x="1511428" y="79692"/>
                    <a:pt x="1559466" y="193267"/>
                  </a:cubicBezTo>
                  <a:lnTo>
                    <a:pt x="1566164" y="214845"/>
                  </a:lnTo>
                  <a:lnTo>
                    <a:pt x="1796853" y="214845"/>
                  </a:lnTo>
                  <a:cubicBezTo>
                    <a:pt x="1855109" y="214845"/>
                    <a:pt x="1902335" y="262071"/>
                    <a:pt x="1902335" y="320327"/>
                  </a:cubicBezTo>
                  <a:lnTo>
                    <a:pt x="1902335" y="742243"/>
                  </a:lnTo>
                  <a:cubicBezTo>
                    <a:pt x="1902335" y="800499"/>
                    <a:pt x="1855109" y="847725"/>
                    <a:pt x="1796853" y="847725"/>
                  </a:cubicBezTo>
                  <a:lnTo>
                    <a:pt x="738934" y="847725"/>
                  </a:lnTo>
                  <a:cubicBezTo>
                    <a:pt x="680678" y="847725"/>
                    <a:pt x="633452" y="800499"/>
                    <a:pt x="633452" y="742243"/>
                  </a:cubicBezTo>
                  <a:lnTo>
                    <a:pt x="633452" y="320327"/>
                  </a:lnTo>
                  <a:cubicBezTo>
                    <a:pt x="633452" y="262071"/>
                    <a:pt x="680678" y="214845"/>
                    <a:pt x="738934" y="214845"/>
                  </a:cubicBezTo>
                  <a:lnTo>
                    <a:pt x="969623" y="214845"/>
                  </a:lnTo>
                  <a:lnTo>
                    <a:pt x="976321" y="193267"/>
                  </a:lnTo>
                  <a:cubicBezTo>
                    <a:pt x="1024359" y="79692"/>
                    <a:pt x="1136820" y="0"/>
                    <a:pt x="1267893" y="0"/>
                  </a:cubicBezTo>
                  <a:close/>
                </a:path>
              </a:pathLst>
            </a:custGeom>
            <a:noFill/>
            <a:ln w="9525" cap="rnd">
              <a:solidFill>
                <a:schemeClr val="bg1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2" name="Agrupar 61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GrpSpPr/>
        </xdr:nvGrpSpPr>
        <xdr:grpSpPr>
          <a:xfrm>
            <a:off x="11195664" y="123825"/>
            <a:ext cx="999327" cy="243701"/>
            <a:chOff x="9765034" y="104252"/>
            <a:chExt cx="999581" cy="243701"/>
          </a:xfrm>
        </xdr:grpSpPr>
        <xdr:sp macro="" textlink="">
          <xdr:nvSpPr>
            <xdr:cNvPr id="70" name="Retângulo: Cantos Arredondados 69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300-000046000000}"/>
                </a:ext>
              </a:extLst>
            </xdr:cNvPr>
            <xdr:cNvSpPr/>
          </xdr:nvSpPr>
          <xdr:spPr>
            <a:xfrm>
              <a:off x="9765034" y="104252"/>
              <a:ext cx="99958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Ligações</a:t>
              </a:r>
            </a:p>
          </xdr:txBody>
        </xdr:sp>
        <xdr:sp macro="" textlink="">
          <xdr:nvSpPr>
            <xdr:cNvPr id="71" name="Forma Livre: Forma 70">
              <a:extLst>
                <a:ext uri="{FF2B5EF4-FFF2-40B4-BE49-F238E27FC236}">
                  <a16:creationId xmlns:a16="http://schemas.microsoft.com/office/drawing/2014/main" id="{00000000-0008-0000-0300-000047000000}"/>
                </a:ext>
              </a:extLst>
            </xdr:cNvPr>
            <xdr:cNvSpPr>
              <a:spLocks noChangeAspect="1"/>
            </xdr:cNvSpPr>
          </xdr:nvSpPr>
          <xdr:spPr>
            <a:xfrm>
              <a:off x="9810751" y="133349"/>
              <a:ext cx="180000" cy="180000"/>
            </a:xfrm>
            <a:custGeom>
              <a:avLst/>
              <a:gdLst>
                <a:gd name="connsiteX0" fmla="*/ 2123136 w 4250872"/>
                <a:gd name="connsiteY0" fmla="*/ 2070418 h 4250872"/>
                <a:gd name="connsiteX1" fmla="*/ 2154685 w 4250872"/>
                <a:gd name="connsiteY1" fmla="*/ 2096189 h 4250872"/>
                <a:gd name="connsiteX2" fmla="*/ 2170560 w 4250872"/>
                <a:gd name="connsiteY2" fmla="*/ 2115622 h 4250872"/>
                <a:gd name="connsiteX3" fmla="*/ 2139010 w 4250872"/>
                <a:gd name="connsiteY3" fmla="*/ 2089852 h 4250872"/>
                <a:gd name="connsiteX4" fmla="*/ 1601747 w 4250872"/>
                <a:gd name="connsiteY4" fmla="*/ 1799924 h 4250872"/>
                <a:gd name="connsiteX5" fmla="*/ 1590811 w 4250872"/>
                <a:gd name="connsiteY5" fmla="*/ 1836827 h 4250872"/>
                <a:gd name="connsiteX6" fmla="*/ 1590811 w 4250872"/>
                <a:gd name="connsiteY6" fmla="*/ 2104985 h 4250872"/>
                <a:gd name="connsiteX7" fmla="*/ 1624149 w 4250872"/>
                <a:gd name="connsiteY7" fmla="*/ 2217478 h 4250872"/>
                <a:gd name="connsiteX8" fmla="*/ 1202591 w 4250872"/>
                <a:gd name="connsiteY8" fmla="*/ 2639037 h 4250872"/>
                <a:gd name="connsiteX9" fmla="*/ 1202591 w 4250872"/>
                <a:gd name="connsiteY9" fmla="*/ 3048283 h 4250872"/>
                <a:gd name="connsiteX10" fmla="*/ 1611837 w 4250872"/>
                <a:gd name="connsiteY10" fmla="*/ 3048283 h 4250872"/>
                <a:gd name="connsiteX11" fmla="*/ 2033396 w 4250872"/>
                <a:gd name="connsiteY11" fmla="*/ 2626725 h 4250872"/>
                <a:gd name="connsiteX12" fmla="*/ 2102651 w 4250872"/>
                <a:gd name="connsiteY12" fmla="*/ 2557470 h 4250872"/>
                <a:gd name="connsiteX13" fmla="*/ 2158846 w 4250872"/>
                <a:gd name="connsiteY13" fmla="*/ 2574124 h 4250872"/>
                <a:gd name="connsiteX14" fmla="*/ 2504731 w 4250872"/>
                <a:gd name="connsiteY14" fmla="*/ 2540640 h 4250872"/>
                <a:gd name="connsiteX15" fmla="*/ 2519089 w 4250872"/>
                <a:gd name="connsiteY15" fmla="*/ 2533084 h 4250872"/>
                <a:gd name="connsiteX16" fmla="*/ 2470838 w 4250872"/>
                <a:gd name="connsiteY16" fmla="*/ 2624776 h 4250872"/>
                <a:gd name="connsiteX17" fmla="*/ 2450947 w 4250872"/>
                <a:gd name="connsiteY17" fmla="*/ 2649129 h 4250872"/>
                <a:gd name="connsiteX18" fmla="*/ 2392710 w 4250872"/>
                <a:gd name="connsiteY18" fmla="*/ 2720423 h 4250872"/>
                <a:gd name="connsiteX19" fmla="*/ 1826826 w 4250872"/>
                <a:gd name="connsiteY19" fmla="*/ 3286306 h 4250872"/>
                <a:gd name="connsiteX20" fmla="*/ 1060213 w 4250872"/>
                <a:gd name="connsiteY20" fmla="*/ 3364435 h 4250872"/>
                <a:gd name="connsiteX21" fmla="*/ 964566 w 4250872"/>
                <a:gd name="connsiteY21" fmla="*/ 3286306 h 4250872"/>
                <a:gd name="connsiteX22" fmla="*/ 886438 w 4250872"/>
                <a:gd name="connsiteY22" fmla="*/ 3190660 h 4250872"/>
                <a:gd name="connsiteX23" fmla="*/ 964567 w 4250872"/>
                <a:gd name="connsiteY23" fmla="*/ 2424047 h 4250872"/>
                <a:gd name="connsiteX24" fmla="*/ 1530449 w 4250872"/>
                <a:gd name="connsiteY24" fmla="*/ 1858164 h 4250872"/>
                <a:gd name="connsiteX25" fmla="*/ 2199462 w 4250872"/>
                <a:gd name="connsiteY25" fmla="*/ 1728672 h 4250872"/>
                <a:gd name="connsiteX26" fmla="*/ 2297062 w 4250872"/>
                <a:gd name="connsiteY26" fmla="*/ 1780034 h 4250872"/>
                <a:gd name="connsiteX27" fmla="*/ 2392709 w 4250872"/>
                <a:gd name="connsiteY27" fmla="*/ 1858163 h 4250872"/>
                <a:gd name="connsiteX28" fmla="*/ 2392710 w 4250872"/>
                <a:gd name="connsiteY28" fmla="*/ 1858162 h 4250872"/>
                <a:gd name="connsiteX29" fmla="*/ 2470839 w 4250872"/>
                <a:gd name="connsiteY29" fmla="*/ 1953809 h 4250872"/>
                <a:gd name="connsiteX30" fmla="*/ 2507023 w 4250872"/>
                <a:gd name="connsiteY30" fmla="*/ 2022568 h 4250872"/>
                <a:gd name="connsiteX31" fmla="*/ 2526645 w 4250872"/>
                <a:gd name="connsiteY31" fmla="*/ 2059857 h 4250872"/>
                <a:gd name="connsiteX32" fmla="*/ 2543475 w 4250872"/>
                <a:gd name="connsiteY32" fmla="*/ 2116644 h 4250872"/>
                <a:gd name="connsiteX33" fmla="*/ 2560128 w 4250872"/>
                <a:gd name="connsiteY33" fmla="*/ 2172840 h 4250872"/>
                <a:gd name="connsiteX34" fmla="*/ 2526644 w 4250872"/>
                <a:gd name="connsiteY34" fmla="*/ 2518725 h 4250872"/>
                <a:gd name="connsiteX35" fmla="*/ 2519089 w 4250872"/>
                <a:gd name="connsiteY35" fmla="*/ 2533083 h 4250872"/>
                <a:gd name="connsiteX36" fmla="*/ 2504731 w 4250872"/>
                <a:gd name="connsiteY36" fmla="*/ 2540638 h 4250872"/>
                <a:gd name="connsiteX37" fmla="*/ 2158846 w 4250872"/>
                <a:gd name="connsiteY37" fmla="*/ 2574122 h 4250872"/>
                <a:gd name="connsiteX38" fmla="*/ 2102651 w 4250872"/>
                <a:gd name="connsiteY38" fmla="*/ 2557468 h 4250872"/>
                <a:gd name="connsiteX39" fmla="*/ 2154685 w 4250872"/>
                <a:gd name="connsiteY39" fmla="*/ 2505434 h 4250872"/>
                <a:gd name="connsiteX40" fmla="*/ 2234146 w 4250872"/>
                <a:gd name="connsiteY40" fmla="*/ 2245541 h 4250872"/>
                <a:gd name="connsiteX41" fmla="*/ 2232196 w 4250872"/>
                <a:gd name="connsiteY41" fmla="*/ 2238963 h 4250872"/>
                <a:gd name="connsiteX42" fmla="*/ 2218254 w 4250872"/>
                <a:gd name="connsiteY42" fmla="*/ 2191917 h 4250872"/>
                <a:gd name="connsiteX43" fmla="*/ 2191767 w 4250872"/>
                <a:gd name="connsiteY43" fmla="*/ 2141583 h 4250872"/>
                <a:gd name="connsiteX44" fmla="*/ 2170560 w 4250872"/>
                <a:gd name="connsiteY44" fmla="*/ 2115620 h 4250872"/>
                <a:gd name="connsiteX45" fmla="*/ 2170561 w 4250872"/>
                <a:gd name="connsiteY45" fmla="*/ 2115621 h 4250872"/>
                <a:gd name="connsiteX46" fmla="*/ 2154686 w 4250872"/>
                <a:gd name="connsiteY46" fmla="*/ 2096188 h 4250872"/>
                <a:gd name="connsiteX47" fmla="*/ 2123136 w 4250872"/>
                <a:gd name="connsiteY47" fmla="*/ 2070417 h 4250872"/>
                <a:gd name="connsiteX48" fmla="*/ 2111763 w 4250872"/>
                <a:gd name="connsiteY48" fmla="*/ 2056493 h 4250872"/>
                <a:gd name="connsiteX49" fmla="*/ 2139011 w 4250872"/>
                <a:gd name="connsiteY49" fmla="*/ 1789123 h 4250872"/>
                <a:gd name="connsiteX50" fmla="*/ 1990827 w 4250872"/>
                <a:gd name="connsiteY50" fmla="*/ 1680281 h 4250872"/>
                <a:gd name="connsiteX51" fmla="*/ 2078030 w 4250872"/>
                <a:gd name="connsiteY51" fmla="*/ 1690745 h 4250872"/>
                <a:gd name="connsiteX52" fmla="*/ 2134228 w 4250872"/>
                <a:gd name="connsiteY52" fmla="*/ 1707399 h 4250872"/>
                <a:gd name="connsiteX53" fmla="*/ 2089421 w 4250872"/>
                <a:gd name="connsiteY53" fmla="*/ 1752206 h 4250872"/>
                <a:gd name="connsiteX54" fmla="*/ 2009960 w 4250872"/>
                <a:gd name="connsiteY54" fmla="*/ 2012100 h 4250872"/>
                <a:gd name="connsiteX55" fmla="*/ 2011910 w 4250872"/>
                <a:gd name="connsiteY55" fmla="*/ 2018676 h 4250872"/>
                <a:gd name="connsiteX56" fmla="*/ 2011910 w 4250872"/>
                <a:gd name="connsiteY56" fmla="*/ 2018677 h 4250872"/>
                <a:gd name="connsiteX57" fmla="*/ 2025853 w 4250872"/>
                <a:gd name="connsiteY57" fmla="*/ 2065723 h 4250872"/>
                <a:gd name="connsiteX58" fmla="*/ 2052340 w 4250872"/>
                <a:gd name="connsiteY58" fmla="*/ 2116056 h 4250872"/>
                <a:gd name="connsiteX59" fmla="*/ 2089419 w 4250872"/>
                <a:gd name="connsiteY59" fmla="*/ 2161450 h 4250872"/>
                <a:gd name="connsiteX60" fmla="*/ 2089422 w 4250872"/>
                <a:gd name="connsiteY60" fmla="*/ 2161452 h 4250872"/>
                <a:gd name="connsiteX61" fmla="*/ 2089424 w 4250872"/>
                <a:gd name="connsiteY61" fmla="*/ 2161455 h 4250872"/>
                <a:gd name="connsiteX62" fmla="*/ 2132715 w 4250872"/>
                <a:gd name="connsiteY62" fmla="*/ 2226648 h 4250872"/>
                <a:gd name="connsiteX63" fmla="*/ 2089423 w 4250872"/>
                <a:gd name="connsiteY63" fmla="*/ 2440168 h 4250872"/>
                <a:gd name="connsiteX64" fmla="*/ 2008575 w 4250872"/>
                <a:gd name="connsiteY64" fmla="*/ 2521016 h 4250872"/>
                <a:gd name="connsiteX65" fmla="*/ 1939815 w 4250872"/>
                <a:gd name="connsiteY65" fmla="*/ 2484833 h 4250872"/>
                <a:gd name="connsiteX66" fmla="*/ 1844168 w 4250872"/>
                <a:gd name="connsiteY66" fmla="*/ 2406704 h 4250872"/>
                <a:gd name="connsiteX67" fmla="*/ 1766040 w 4250872"/>
                <a:gd name="connsiteY67" fmla="*/ 2311058 h 4250872"/>
                <a:gd name="connsiteX68" fmla="*/ 1729857 w 4250872"/>
                <a:gd name="connsiteY68" fmla="*/ 2242300 h 4250872"/>
                <a:gd name="connsiteX69" fmla="*/ 1710234 w 4250872"/>
                <a:gd name="connsiteY69" fmla="*/ 2205009 h 4250872"/>
                <a:gd name="connsiteX70" fmla="*/ 1693404 w 4250872"/>
                <a:gd name="connsiteY70" fmla="*/ 2148223 h 4250872"/>
                <a:gd name="connsiteX71" fmla="*/ 1693403 w 4250872"/>
                <a:gd name="connsiteY71" fmla="*/ 2148224 h 4250872"/>
                <a:gd name="connsiteX72" fmla="*/ 1676749 w 4250872"/>
                <a:gd name="connsiteY72" fmla="*/ 2092027 h 4250872"/>
                <a:gd name="connsiteX73" fmla="*/ 1710233 w 4250872"/>
                <a:gd name="connsiteY73" fmla="*/ 1746141 h 4250872"/>
                <a:gd name="connsiteX74" fmla="*/ 1717788 w 4250872"/>
                <a:gd name="connsiteY74" fmla="*/ 1731782 h 4250872"/>
                <a:gd name="connsiteX75" fmla="*/ 1732144 w 4250872"/>
                <a:gd name="connsiteY75" fmla="*/ 1724228 h 4250872"/>
                <a:gd name="connsiteX76" fmla="*/ 1990827 w 4250872"/>
                <a:gd name="connsiteY76" fmla="*/ 1680281 h 4250872"/>
                <a:gd name="connsiteX77" fmla="*/ 2855175 w 4250872"/>
                <a:gd name="connsiteY77" fmla="*/ 785987 h 4250872"/>
                <a:gd name="connsiteX78" fmla="*/ 3286305 w 4250872"/>
                <a:gd name="connsiteY78" fmla="*/ 964567 h 4250872"/>
                <a:gd name="connsiteX79" fmla="*/ 3286306 w 4250872"/>
                <a:gd name="connsiteY79" fmla="*/ 964566 h 4250872"/>
                <a:gd name="connsiteX80" fmla="*/ 3286306 w 4250872"/>
                <a:gd name="connsiteY80" fmla="*/ 1826826 h 4250872"/>
                <a:gd name="connsiteX81" fmla="*/ 2706427 w 4250872"/>
                <a:gd name="connsiteY81" fmla="*/ 2406705 h 4250872"/>
                <a:gd name="connsiteX82" fmla="*/ 2632339 w 4250872"/>
                <a:gd name="connsiteY82" fmla="*/ 2467223 h 4250872"/>
                <a:gd name="connsiteX83" fmla="*/ 2643060 w 4250872"/>
                <a:gd name="connsiteY83" fmla="*/ 2431050 h 4250872"/>
                <a:gd name="connsiteX84" fmla="*/ 2643060 w 4250872"/>
                <a:gd name="connsiteY84" fmla="*/ 2162892 h 4250872"/>
                <a:gd name="connsiteX85" fmla="*/ 2609722 w 4250872"/>
                <a:gd name="connsiteY85" fmla="*/ 2050399 h 4250872"/>
                <a:gd name="connsiteX86" fmla="*/ 3046620 w 4250872"/>
                <a:gd name="connsiteY86" fmla="*/ 1613500 h 4250872"/>
                <a:gd name="connsiteX87" fmla="*/ 3046620 w 4250872"/>
                <a:gd name="connsiteY87" fmla="*/ 1204254 h 4250872"/>
                <a:gd name="connsiteX88" fmla="*/ 2637374 w 4250872"/>
                <a:gd name="connsiteY88" fmla="*/ 1204254 h 4250872"/>
                <a:gd name="connsiteX89" fmla="*/ 2200475 w 4250872"/>
                <a:gd name="connsiteY89" fmla="*/ 1641152 h 4250872"/>
                <a:gd name="connsiteX90" fmla="*/ 2200474 w 4250872"/>
                <a:gd name="connsiteY90" fmla="*/ 1641151 h 4250872"/>
                <a:gd name="connsiteX91" fmla="*/ 2134228 w 4250872"/>
                <a:gd name="connsiteY91" fmla="*/ 1707398 h 4250872"/>
                <a:gd name="connsiteX92" fmla="*/ 2078029 w 4250872"/>
                <a:gd name="connsiteY92" fmla="*/ 1690744 h 4250872"/>
                <a:gd name="connsiteX93" fmla="*/ 1732143 w 4250872"/>
                <a:gd name="connsiteY93" fmla="*/ 1724227 h 4250872"/>
                <a:gd name="connsiteX94" fmla="*/ 1717787 w 4250872"/>
                <a:gd name="connsiteY94" fmla="*/ 1731781 h 4250872"/>
                <a:gd name="connsiteX95" fmla="*/ 1766039 w 4250872"/>
                <a:gd name="connsiteY95" fmla="*/ 1640092 h 4250872"/>
                <a:gd name="connsiteX96" fmla="*/ 1783649 w 4250872"/>
                <a:gd name="connsiteY96" fmla="*/ 1618534 h 4250872"/>
                <a:gd name="connsiteX97" fmla="*/ 1783651 w 4250872"/>
                <a:gd name="connsiteY97" fmla="*/ 1618533 h 4250872"/>
                <a:gd name="connsiteX98" fmla="*/ 1844168 w 4250872"/>
                <a:gd name="connsiteY98" fmla="*/ 1544446 h 4250872"/>
                <a:gd name="connsiteX99" fmla="*/ 2424045 w 4250872"/>
                <a:gd name="connsiteY99" fmla="*/ 964567 h 4250872"/>
                <a:gd name="connsiteX100" fmla="*/ 2855175 w 4250872"/>
                <a:gd name="connsiteY100" fmla="*/ 785987 h 4250872"/>
                <a:gd name="connsiteX101" fmla="*/ 2125435 w 4250872"/>
                <a:gd name="connsiteY101" fmla="*/ 266463 h 4250872"/>
                <a:gd name="connsiteX102" fmla="*/ 266463 w 4250872"/>
                <a:gd name="connsiteY102" fmla="*/ 2125435 h 4250872"/>
                <a:gd name="connsiteX103" fmla="*/ 2125435 w 4250872"/>
                <a:gd name="connsiteY103" fmla="*/ 3984407 h 4250872"/>
                <a:gd name="connsiteX104" fmla="*/ 3984407 w 4250872"/>
                <a:gd name="connsiteY104" fmla="*/ 2125435 h 4250872"/>
                <a:gd name="connsiteX105" fmla="*/ 2125435 w 4250872"/>
                <a:gd name="connsiteY105" fmla="*/ 266463 h 4250872"/>
                <a:gd name="connsiteX106" fmla="*/ 2125436 w 4250872"/>
                <a:gd name="connsiteY106" fmla="*/ 0 h 4250872"/>
                <a:gd name="connsiteX107" fmla="*/ 4250872 w 4250872"/>
                <a:gd name="connsiteY107" fmla="*/ 2125436 h 4250872"/>
                <a:gd name="connsiteX108" fmla="*/ 2125436 w 4250872"/>
                <a:gd name="connsiteY108" fmla="*/ 4250872 h 4250872"/>
                <a:gd name="connsiteX109" fmla="*/ 0 w 4250872"/>
                <a:gd name="connsiteY109" fmla="*/ 2125436 h 4250872"/>
                <a:gd name="connsiteX110" fmla="*/ 2125436 w 4250872"/>
                <a:gd name="connsiteY110" fmla="*/ 0 h 42508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</a:cxnLst>
              <a:rect l="l" t="t" r="r" b="b"/>
              <a:pathLst>
                <a:path w="4250872" h="4250872">
                  <a:moveTo>
                    <a:pt x="2123136" y="2070418"/>
                  </a:moveTo>
                  <a:lnTo>
                    <a:pt x="2154685" y="2096189"/>
                  </a:lnTo>
                  <a:lnTo>
                    <a:pt x="2170560" y="2115622"/>
                  </a:lnTo>
                  <a:lnTo>
                    <a:pt x="2139010" y="2089852"/>
                  </a:lnTo>
                  <a:close/>
                  <a:moveTo>
                    <a:pt x="1601747" y="1799924"/>
                  </a:moveTo>
                  <a:lnTo>
                    <a:pt x="1590811" y="1836827"/>
                  </a:lnTo>
                  <a:cubicBezTo>
                    <a:pt x="1573677" y="1925326"/>
                    <a:pt x="1573677" y="2016487"/>
                    <a:pt x="1590811" y="2104985"/>
                  </a:cubicBezTo>
                  <a:lnTo>
                    <a:pt x="1624149" y="2217478"/>
                  </a:lnTo>
                  <a:lnTo>
                    <a:pt x="1202591" y="2639037"/>
                  </a:lnTo>
                  <a:cubicBezTo>
                    <a:pt x="1089580" y="2752047"/>
                    <a:pt x="1089580" y="2935273"/>
                    <a:pt x="1202591" y="3048283"/>
                  </a:cubicBezTo>
                  <a:cubicBezTo>
                    <a:pt x="1315601" y="3161294"/>
                    <a:pt x="1498827" y="3161294"/>
                    <a:pt x="1611837" y="3048283"/>
                  </a:cubicBezTo>
                  <a:lnTo>
                    <a:pt x="2033396" y="2626725"/>
                  </a:lnTo>
                  <a:lnTo>
                    <a:pt x="2102651" y="2557470"/>
                  </a:lnTo>
                  <a:lnTo>
                    <a:pt x="2158846" y="2574124"/>
                  </a:lnTo>
                  <a:cubicBezTo>
                    <a:pt x="2274142" y="2596446"/>
                    <a:pt x="2394638" y="2585286"/>
                    <a:pt x="2504731" y="2540640"/>
                  </a:cubicBezTo>
                  <a:lnTo>
                    <a:pt x="2519089" y="2533084"/>
                  </a:lnTo>
                  <a:lnTo>
                    <a:pt x="2470838" y="2624776"/>
                  </a:lnTo>
                  <a:lnTo>
                    <a:pt x="2450947" y="2649129"/>
                  </a:lnTo>
                  <a:lnTo>
                    <a:pt x="2392710" y="2720423"/>
                  </a:lnTo>
                  <a:lnTo>
                    <a:pt x="1826826" y="3286306"/>
                  </a:lnTo>
                  <a:cubicBezTo>
                    <a:pt x="1618483" y="3494650"/>
                    <a:pt x="1296872" y="3520693"/>
                    <a:pt x="1060213" y="3364435"/>
                  </a:cubicBezTo>
                  <a:lnTo>
                    <a:pt x="964566" y="3286306"/>
                  </a:lnTo>
                  <a:lnTo>
                    <a:pt x="886438" y="3190660"/>
                  </a:lnTo>
                  <a:cubicBezTo>
                    <a:pt x="730181" y="2954001"/>
                    <a:pt x="756224" y="2632390"/>
                    <a:pt x="964567" y="2424047"/>
                  </a:cubicBezTo>
                  <a:lnTo>
                    <a:pt x="1530449" y="1858164"/>
                  </a:lnTo>
                  <a:close/>
                  <a:moveTo>
                    <a:pt x="2199462" y="1728672"/>
                  </a:moveTo>
                  <a:lnTo>
                    <a:pt x="2297062" y="1780034"/>
                  </a:lnTo>
                  <a:cubicBezTo>
                    <a:pt x="2330871" y="1802356"/>
                    <a:pt x="2362946" y="1828400"/>
                    <a:pt x="2392709" y="1858163"/>
                  </a:cubicBezTo>
                  <a:lnTo>
                    <a:pt x="2392710" y="1858162"/>
                  </a:lnTo>
                  <a:cubicBezTo>
                    <a:pt x="2422473" y="1887925"/>
                    <a:pt x="2448517" y="1920000"/>
                    <a:pt x="2470839" y="1953809"/>
                  </a:cubicBezTo>
                  <a:lnTo>
                    <a:pt x="2507023" y="2022568"/>
                  </a:lnTo>
                  <a:lnTo>
                    <a:pt x="2526645" y="2059857"/>
                  </a:lnTo>
                  <a:lnTo>
                    <a:pt x="2543475" y="2116644"/>
                  </a:lnTo>
                  <a:lnTo>
                    <a:pt x="2560128" y="2172840"/>
                  </a:lnTo>
                  <a:cubicBezTo>
                    <a:pt x="2582450" y="2288135"/>
                    <a:pt x="2571290" y="2408632"/>
                    <a:pt x="2526644" y="2518725"/>
                  </a:cubicBezTo>
                  <a:lnTo>
                    <a:pt x="2519089" y="2533083"/>
                  </a:lnTo>
                  <a:lnTo>
                    <a:pt x="2504731" y="2540638"/>
                  </a:lnTo>
                  <a:cubicBezTo>
                    <a:pt x="2394638" y="2585284"/>
                    <a:pt x="2274141" y="2596444"/>
                    <a:pt x="2158846" y="2574122"/>
                  </a:cubicBezTo>
                  <a:lnTo>
                    <a:pt x="2102651" y="2557468"/>
                  </a:lnTo>
                  <a:lnTo>
                    <a:pt x="2154685" y="2505434"/>
                  </a:lnTo>
                  <a:cubicBezTo>
                    <a:pt x="2225316" y="2434803"/>
                    <a:pt x="2251803" y="2336743"/>
                    <a:pt x="2234146" y="2245541"/>
                  </a:cubicBezTo>
                  <a:lnTo>
                    <a:pt x="2232196" y="2238963"/>
                  </a:lnTo>
                  <a:lnTo>
                    <a:pt x="2218254" y="2191917"/>
                  </a:lnTo>
                  <a:cubicBezTo>
                    <a:pt x="2211190" y="2174499"/>
                    <a:pt x="2202361" y="2157630"/>
                    <a:pt x="2191767" y="2141583"/>
                  </a:cubicBezTo>
                  <a:lnTo>
                    <a:pt x="2170560" y="2115620"/>
                  </a:lnTo>
                  <a:lnTo>
                    <a:pt x="2170561" y="2115621"/>
                  </a:lnTo>
                  <a:lnTo>
                    <a:pt x="2154686" y="2096188"/>
                  </a:lnTo>
                  <a:lnTo>
                    <a:pt x="2123136" y="2070417"/>
                  </a:lnTo>
                  <a:lnTo>
                    <a:pt x="2111763" y="2056493"/>
                  </a:lnTo>
                  <a:cubicBezTo>
                    <a:pt x="2057265" y="1973954"/>
                    <a:pt x="2066348" y="1861786"/>
                    <a:pt x="2139011" y="1789123"/>
                  </a:cubicBezTo>
                  <a:close/>
                  <a:moveTo>
                    <a:pt x="1990827" y="1680281"/>
                  </a:moveTo>
                  <a:cubicBezTo>
                    <a:pt x="2020057" y="1681676"/>
                    <a:pt x="2049206" y="1685164"/>
                    <a:pt x="2078030" y="1690745"/>
                  </a:cubicBezTo>
                  <a:lnTo>
                    <a:pt x="2134228" y="1707399"/>
                  </a:lnTo>
                  <a:lnTo>
                    <a:pt x="2089421" y="1752206"/>
                  </a:lnTo>
                  <a:cubicBezTo>
                    <a:pt x="2018790" y="1822838"/>
                    <a:pt x="1992303" y="1920898"/>
                    <a:pt x="2009960" y="2012100"/>
                  </a:cubicBezTo>
                  <a:lnTo>
                    <a:pt x="2011910" y="2018676"/>
                  </a:lnTo>
                  <a:lnTo>
                    <a:pt x="2011910" y="2018677"/>
                  </a:lnTo>
                  <a:lnTo>
                    <a:pt x="2025853" y="2065723"/>
                  </a:lnTo>
                  <a:cubicBezTo>
                    <a:pt x="2032916" y="2083141"/>
                    <a:pt x="2041745" y="2100010"/>
                    <a:pt x="2052340" y="2116056"/>
                  </a:cubicBezTo>
                  <a:lnTo>
                    <a:pt x="2089419" y="2161450"/>
                  </a:lnTo>
                  <a:lnTo>
                    <a:pt x="2089422" y="2161452"/>
                  </a:lnTo>
                  <a:lnTo>
                    <a:pt x="2089424" y="2161455"/>
                  </a:lnTo>
                  <a:lnTo>
                    <a:pt x="2132715" y="2226648"/>
                  </a:lnTo>
                  <a:cubicBezTo>
                    <a:pt x="2161577" y="2297821"/>
                    <a:pt x="2147146" y="2382444"/>
                    <a:pt x="2089423" y="2440168"/>
                  </a:cubicBezTo>
                  <a:lnTo>
                    <a:pt x="2008575" y="2521016"/>
                  </a:lnTo>
                  <a:lnTo>
                    <a:pt x="1939815" y="2484833"/>
                  </a:lnTo>
                  <a:lnTo>
                    <a:pt x="1844168" y="2406704"/>
                  </a:lnTo>
                  <a:lnTo>
                    <a:pt x="1766040" y="2311058"/>
                  </a:lnTo>
                  <a:lnTo>
                    <a:pt x="1729857" y="2242300"/>
                  </a:lnTo>
                  <a:lnTo>
                    <a:pt x="1710234" y="2205009"/>
                  </a:lnTo>
                  <a:lnTo>
                    <a:pt x="1693404" y="2148223"/>
                  </a:lnTo>
                  <a:lnTo>
                    <a:pt x="1693403" y="2148224"/>
                  </a:lnTo>
                  <a:lnTo>
                    <a:pt x="1676749" y="2092027"/>
                  </a:lnTo>
                  <a:cubicBezTo>
                    <a:pt x="1654427" y="1976732"/>
                    <a:pt x="1665588" y="1856235"/>
                    <a:pt x="1710233" y="1746141"/>
                  </a:cubicBezTo>
                  <a:lnTo>
                    <a:pt x="1717788" y="1731782"/>
                  </a:lnTo>
                  <a:lnTo>
                    <a:pt x="1732144" y="1724228"/>
                  </a:lnTo>
                  <a:cubicBezTo>
                    <a:pt x="1814715" y="1690745"/>
                    <a:pt x="1903137" y="1676096"/>
                    <a:pt x="1990827" y="1680281"/>
                  </a:cubicBezTo>
                  <a:close/>
                  <a:moveTo>
                    <a:pt x="2855175" y="785987"/>
                  </a:moveTo>
                  <a:cubicBezTo>
                    <a:pt x="3011213" y="785987"/>
                    <a:pt x="3167252" y="845514"/>
                    <a:pt x="3286305" y="964567"/>
                  </a:cubicBezTo>
                  <a:lnTo>
                    <a:pt x="3286306" y="964566"/>
                  </a:lnTo>
                  <a:cubicBezTo>
                    <a:pt x="3524413" y="1202673"/>
                    <a:pt x="3524413" y="1588720"/>
                    <a:pt x="3286306" y="1826826"/>
                  </a:cubicBezTo>
                  <a:lnTo>
                    <a:pt x="2706427" y="2406705"/>
                  </a:lnTo>
                  <a:lnTo>
                    <a:pt x="2632339" y="2467223"/>
                  </a:lnTo>
                  <a:lnTo>
                    <a:pt x="2643060" y="2431050"/>
                  </a:lnTo>
                  <a:cubicBezTo>
                    <a:pt x="2660194" y="2342552"/>
                    <a:pt x="2660194" y="2251391"/>
                    <a:pt x="2643060" y="2162892"/>
                  </a:cubicBezTo>
                  <a:lnTo>
                    <a:pt x="2609722" y="2050399"/>
                  </a:lnTo>
                  <a:lnTo>
                    <a:pt x="3046620" y="1613500"/>
                  </a:lnTo>
                  <a:cubicBezTo>
                    <a:pt x="3159631" y="1500489"/>
                    <a:pt x="3159631" y="1317264"/>
                    <a:pt x="3046620" y="1204254"/>
                  </a:cubicBezTo>
                  <a:cubicBezTo>
                    <a:pt x="2933609" y="1091243"/>
                    <a:pt x="2750384" y="1091243"/>
                    <a:pt x="2637374" y="1204254"/>
                  </a:cubicBezTo>
                  <a:lnTo>
                    <a:pt x="2200475" y="1641152"/>
                  </a:lnTo>
                  <a:lnTo>
                    <a:pt x="2200474" y="1641151"/>
                  </a:lnTo>
                  <a:lnTo>
                    <a:pt x="2134228" y="1707398"/>
                  </a:lnTo>
                  <a:lnTo>
                    <a:pt x="2078029" y="1690744"/>
                  </a:lnTo>
                  <a:cubicBezTo>
                    <a:pt x="1962734" y="1668422"/>
                    <a:pt x="1842238" y="1679582"/>
                    <a:pt x="1732143" y="1724227"/>
                  </a:cubicBezTo>
                  <a:lnTo>
                    <a:pt x="1717787" y="1731781"/>
                  </a:lnTo>
                  <a:lnTo>
                    <a:pt x="1766039" y="1640092"/>
                  </a:lnTo>
                  <a:lnTo>
                    <a:pt x="1783649" y="1618534"/>
                  </a:lnTo>
                  <a:lnTo>
                    <a:pt x="1783651" y="1618533"/>
                  </a:lnTo>
                  <a:lnTo>
                    <a:pt x="1844168" y="1544446"/>
                  </a:lnTo>
                  <a:lnTo>
                    <a:pt x="2424045" y="964567"/>
                  </a:lnTo>
                  <a:cubicBezTo>
                    <a:pt x="2543099" y="845514"/>
                    <a:pt x="2699137" y="785987"/>
                    <a:pt x="2855175" y="785987"/>
                  </a:cubicBezTo>
                  <a:close/>
                  <a:moveTo>
                    <a:pt x="2125435" y="266463"/>
                  </a:moveTo>
                  <a:cubicBezTo>
                    <a:pt x="1098753" y="266463"/>
                    <a:pt x="266463" y="1098753"/>
                    <a:pt x="266463" y="2125435"/>
                  </a:cubicBezTo>
                  <a:cubicBezTo>
                    <a:pt x="266463" y="3152117"/>
                    <a:pt x="1098753" y="3984407"/>
                    <a:pt x="2125435" y="3984407"/>
                  </a:cubicBezTo>
                  <a:cubicBezTo>
                    <a:pt x="3152117" y="3984407"/>
                    <a:pt x="3984407" y="3152117"/>
                    <a:pt x="3984407" y="2125435"/>
                  </a:cubicBezTo>
                  <a:cubicBezTo>
                    <a:pt x="3984407" y="1098753"/>
                    <a:pt x="3152117" y="266463"/>
                    <a:pt x="2125435" y="266463"/>
                  </a:cubicBezTo>
                  <a:close/>
                  <a:moveTo>
                    <a:pt x="2125436" y="0"/>
                  </a:moveTo>
                  <a:cubicBezTo>
                    <a:pt x="3299282" y="0"/>
                    <a:pt x="4250872" y="951590"/>
                    <a:pt x="4250872" y="2125436"/>
                  </a:cubicBezTo>
                  <a:cubicBezTo>
                    <a:pt x="4250872" y="3299282"/>
                    <a:pt x="3299282" y="4250872"/>
                    <a:pt x="2125436" y="4250872"/>
                  </a:cubicBezTo>
                  <a:cubicBezTo>
                    <a:pt x="951590" y="4250872"/>
                    <a:pt x="0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lose/>
                </a:path>
              </a:pathLst>
            </a:custGeom>
            <a:solidFill>
              <a:schemeClr val="bg1"/>
            </a:solidFill>
            <a:ln w="25400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63" name="Agrupar 6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GrpSpPr/>
        </xdr:nvGrpSpPr>
        <xdr:grpSpPr>
          <a:xfrm>
            <a:off x="295275" y="125041"/>
            <a:ext cx="2674917" cy="243680"/>
            <a:chOff x="295275" y="125041"/>
            <a:chExt cx="2674917" cy="243680"/>
          </a:xfrm>
        </xdr:grpSpPr>
        <xdr:grpSp>
          <xdr:nvGrpSpPr>
            <xdr:cNvPr id="64" name="Agrupar 63">
              <a:extLst>
                <a:ext uri="{FF2B5EF4-FFF2-40B4-BE49-F238E27FC236}">
                  <a16:creationId xmlns:a16="http://schemas.microsoft.com/office/drawing/2014/main" id="{00000000-0008-0000-0300-000040000000}"/>
                </a:ext>
              </a:extLst>
            </xdr:cNvPr>
            <xdr:cNvGrpSpPr/>
          </xdr:nvGrpSpPr>
          <xdr:grpSpPr>
            <a:xfrm>
              <a:off x="295275" y="125041"/>
              <a:ext cx="2674917" cy="243680"/>
              <a:chOff x="370665" y="105468"/>
              <a:chExt cx="2671648" cy="244391"/>
            </a:xfrm>
          </xdr:grpSpPr>
          <xdr:sp macro="" textlink="">
            <xdr:nvSpPr>
              <xdr:cNvPr id="66" name="Retângulo: Cantos Arredondados 65">
                <a:extLst>
                  <a:ext uri="{FF2B5EF4-FFF2-40B4-BE49-F238E27FC236}">
                    <a16:creationId xmlns:a16="http://schemas.microsoft.com/office/drawing/2014/main" id="{00000000-0008-0000-0300-000042000000}"/>
                  </a:ext>
                </a:extLst>
              </xdr:cNvPr>
              <xdr:cNvSpPr/>
            </xdr:nvSpPr>
            <xdr:spPr>
              <a:xfrm>
                <a:off x="1199865" y="105468"/>
                <a:ext cx="1842448" cy="244391"/>
              </a:xfrm>
              <a:prstGeom prst="roundRect">
                <a:avLst>
                  <a:gd name="adj" fmla="val 50000"/>
                </a:avLst>
              </a:prstGeom>
              <a:noFill/>
              <a:ln w="285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144000" rIns="0" bIns="72000" rtlCol="0" anchor="ctr"/>
              <a:lstStyle/>
              <a:p>
                <a:pPr marL="0" indent="0" algn="ctr"/>
                <a:r>
                  <a:rPr lang="pt-BR" sz="105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rPr>
                  <a:t>         Treliça Modelo A</a:t>
                </a:r>
              </a:p>
            </xdr:txBody>
          </xdr:sp>
          <xdr:grpSp>
            <xdr:nvGrpSpPr>
              <xdr:cNvPr id="67" name="Agrupar 66">
                <a:extLst>
                  <a:ext uri="{FF2B5EF4-FFF2-40B4-BE49-F238E27FC236}">
                    <a16:creationId xmlns:a16="http://schemas.microsoft.com/office/drawing/2014/main" id="{00000000-0008-0000-0300-000043000000}"/>
                  </a:ext>
                </a:extLst>
              </xdr:cNvPr>
              <xdr:cNvGrpSpPr/>
            </xdr:nvGrpSpPr>
            <xdr:grpSpPr>
              <a:xfrm>
                <a:off x="370665" y="105468"/>
                <a:ext cx="1197484" cy="244391"/>
                <a:chOff x="1941892" y="104252"/>
                <a:chExt cx="1204439" cy="245585"/>
              </a:xfrm>
            </xdr:grpSpPr>
            <xdr:sp macro="" textlink="">
              <xdr:nvSpPr>
                <xdr:cNvPr id="68" name="Retângulo: Cantos Arredondados 67">
                  <a:extLst>
                    <a:ext uri="{FF2B5EF4-FFF2-40B4-BE49-F238E27FC236}">
                      <a16:creationId xmlns:a16="http://schemas.microsoft.com/office/drawing/2014/main" id="{00000000-0008-0000-0300-000044000000}"/>
                    </a:ext>
                  </a:extLst>
                </xdr:cNvPr>
                <xdr:cNvSpPr/>
              </xdr:nvSpPr>
              <xdr:spPr>
                <a:xfrm>
                  <a:off x="1941892" y="104252"/>
                  <a:ext cx="1204439" cy="245585"/>
                </a:xfrm>
                <a:prstGeom prst="roundRect">
                  <a:avLst>
                    <a:gd name="adj" fmla="val 50000"/>
                  </a:avLst>
                </a:prstGeom>
                <a:solidFill>
                  <a:schemeClr val="tx1">
                    <a:lumMod val="85000"/>
                    <a:lumOff val="15000"/>
                  </a:schemeClr>
                </a:solidFill>
                <a:ln w="28575">
                  <a:solidFill>
                    <a:schemeClr val="tx1">
                      <a:lumMod val="85000"/>
                      <a:lumOff val="15000"/>
                    </a:schemeClr>
                  </a:solidFill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144000" rIns="0" bIns="72000" rtlCol="0" anchor="ctr"/>
                <a:lstStyle/>
                <a:p>
                  <a:pPr marL="0" indent="0" algn="ctr"/>
                  <a:r>
                    <a:rPr lang="pt-BR" sz="1100">
                      <a:solidFill>
                        <a:schemeClr val="lt1"/>
                      </a:solidFill>
                      <a:latin typeface="Segoe UI Semibold" panose="020B0702040204020203" pitchFamily="34" charset="0"/>
                      <a:ea typeface="+mn-ea"/>
                      <a:cs typeface="Segoe UI Semibold" panose="020B0702040204020203" pitchFamily="34" charset="0"/>
                    </a:rPr>
                    <a:t>Menu Inicial</a:t>
                  </a:r>
                </a:p>
              </xdr:txBody>
            </xdr:sp>
            <xdr:sp macro="" textlink="">
              <xdr:nvSpPr>
                <xdr:cNvPr id="69" name="Forma Livre: Forma 68">
                  <a:extLst>
                    <a:ext uri="{FF2B5EF4-FFF2-40B4-BE49-F238E27FC236}">
                      <a16:creationId xmlns:a16="http://schemas.microsoft.com/office/drawing/2014/main" id="{00000000-0008-0000-0300-000045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2017848" y="142345"/>
                  <a:ext cx="169596" cy="160423"/>
                </a:xfrm>
                <a:custGeom>
                  <a:avLst/>
                  <a:gdLst>
                    <a:gd name="connsiteX0" fmla="*/ 2207243 w 3579070"/>
                    <a:gd name="connsiteY0" fmla="*/ 3366545 h 3368926"/>
                    <a:gd name="connsiteX1" fmla="*/ 2535059 w 3579070"/>
                    <a:gd name="connsiteY1" fmla="*/ 3366545 h 3368926"/>
                    <a:gd name="connsiteX2" fmla="*/ 2523265 w 3579070"/>
                    <a:gd name="connsiteY2" fmla="*/ 3368926 h 3368926"/>
                    <a:gd name="connsiteX3" fmla="*/ 2219036 w 3579070"/>
                    <a:gd name="connsiteY3" fmla="*/ 3368926 h 3368926"/>
                    <a:gd name="connsiteX4" fmla="*/ 1789535 w 3579070"/>
                    <a:gd name="connsiteY4" fmla="*/ 0 h 3368926"/>
                    <a:gd name="connsiteX5" fmla="*/ 2012243 w 3579070"/>
                    <a:gd name="connsiteY5" fmla="*/ 92249 h 3368926"/>
                    <a:gd name="connsiteX6" fmla="*/ 2012247 w 3579070"/>
                    <a:gd name="connsiteY6" fmla="*/ 92254 h 3368926"/>
                    <a:gd name="connsiteX7" fmla="*/ 3486822 w 3579070"/>
                    <a:gd name="connsiteY7" fmla="*/ 1566828 h 3368926"/>
                    <a:gd name="connsiteX8" fmla="*/ 3486822 w 3579070"/>
                    <a:gd name="connsiteY8" fmla="*/ 2012243 h 3368926"/>
                    <a:gd name="connsiteX9" fmla="*/ 3203960 w 3579070"/>
                    <a:gd name="connsiteY9" fmla="*/ 2098726 h 3368926"/>
                    <a:gd name="connsiteX10" fmla="*/ 3147176 w 3579070"/>
                    <a:gd name="connsiteY10" fmla="*/ 2081898 h 3368926"/>
                    <a:gd name="connsiteX11" fmla="*/ 3147176 w 3579070"/>
                    <a:gd name="connsiteY11" fmla="*/ 2993894 h 3368926"/>
                    <a:gd name="connsiteX12" fmla="*/ 2774526 w 3579070"/>
                    <a:gd name="connsiteY12" fmla="*/ 3366544 h 3368926"/>
                    <a:gd name="connsiteX13" fmla="*/ 2535059 w 3579070"/>
                    <a:gd name="connsiteY13" fmla="*/ 3366544 h 3368926"/>
                    <a:gd name="connsiteX14" fmla="*/ 2207243 w 3579070"/>
                    <a:gd name="connsiteY14" fmla="*/ 3366544 h 3368926"/>
                    <a:gd name="connsiteX15" fmla="*/ 2182467 w 3579070"/>
                    <a:gd name="connsiteY15" fmla="*/ 3361542 h 3368926"/>
                    <a:gd name="connsiteX16" fmla="*/ 2132471 w 3579070"/>
                    <a:gd name="connsiteY16" fmla="*/ 3311546 h 3368926"/>
                    <a:gd name="connsiteX17" fmla="*/ 2127469 w 3579070"/>
                    <a:gd name="connsiteY17" fmla="*/ 3286771 h 3368926"/>
                    <a:gd name="connsiteX18" fmla="*/ 2127469 w 3579070"/>
                    <a:gd name="connsiteY18" fmla="*/ 3286772 h 3368926"/>
                    <a:gd name="connsiteX19" fmla="*/ 2125088 w 3579070"/>
                    <a:gd name="connsiteY19" fmla="*/ 3274978 h 3368926"/>
                    <a:gd name="connsiteX20" fmla="*/ 2125088 w 3579070"/>
                    <a:gd name="connsiteY20" fmla="*/ 3079022 h 3368926"/>
                    <a:gd name="connsiteX21" fmla="*/ 2126378 w 3579070"/>
                    <a:gd name="connsiteY21" fmla="*/ 3072633 h 3368926"/>
                    <a:gd name="connsiteX22" fmla="*/ 2126378 w 3579070"/>
                    <a:gd name="connsiteY22" fmla="*/ 2991827 h 3368926"/>
                    <a:gd name="connsiteX23" fmla="*/ 2127469 w 3579070"/>
                    <a:gd name="connsiteY23" fmla="*/ 2986423 h 3368926"/>
                    <a:gd name="connsiteX24" fmla="*/ 2127469 w 3579070"/>
                    <a:gd name="connsiteY24" fmla="*/ 2455209 h 3368926"/>
                    <a:gd name="connsiteX25" fmla="*/ 1962922 w 3579070"/>
                    <a:gd name="connsiteY25" fmla="*/ 2290662 h 3368926"/>
                    <a:gd name="connsiteX26" fmla="*/ 1619710 w 3579070"/>
                    <a:gd name="connsiteY26" fmla="*/ 2290662 h 3368926"/>
                    <a:gd name="connsiteX27" fmla="*/ 1455163 w 3579070"/>
                    <a:gd name="connsiteY27" fmla="*/ 2455209 h 3368926"/>
                    <a:gd name="connsiteX28" fmla="*/ 1455163 w 3579070"/>
                    <a:gd name="connsiteY28" fmla="*/ 3067228 h 3368926"/>
                    <a:gd name="connsiteX29" fmla="*/ 1452782 w 3579070"/>
                    <a:gd name="connsiteY29" fmla="*/ 3055435 h 3368926"/>
                    <a:gd name="connsiteX30" fmla="*/ 1452782 w 3579070"/>
                    <a:gd name="connsiteY30" fmla="*/ 3055436 h 3368926"/>
                    <a:gd name="connsiteX31" fmla="*/ 1455163 w 3579070"/>
                    <a:gd name="connsiteY31" fmla="*/ 3067229 h 3368926"/>
                    <a:gd name="connsiteX32" fmla="*/ 1457544 w 3579070"/>
                    <a:gd name="connsiteY32" fmla="*/ 3079022 h 3368926"/>
                    <a:gd name="connsiteX33" fmla="*/ 1457544 w 3579070"/>
                    <a:gd name="connsiteY33" fmla="*/ 3274978 h 3368926"/>
                    <a:gd name="connsiteX34" fmla="*/ 1455163 w 3579070"/>
                    <a:gd name="connsiteY34" fmla="*/ 3286772 h 3368926"/>
                    <a:gd name="connsiteX35" fmla="*/ 1450161 w 3579070"/>
                    <a:gd name="connsiteY35" fmla="*/ 3311547 h 3368926"/>
                    <a:gd name="connsiteX36" fmla="*/ 1400165 w 3579070"/>
                    <a:gd name="connsiteY36" fmla="*/ 3361543 h 3368926"/>
                    <a:gd name="connsiteX37" fmla="*/ 1375389 w 3579070"/>
                    <a:gd name="connsiteY37" fmla="*/ 3366545 h 3368926"/>
                    <a:gd name="connsiteX38" fmla="*/ 1363596 w 3579070"/>
                    <a:gd name="connsiteY38" fmla="*/ 3368926 h 3368926"/>
                    <a:gd name="connsiteX39" fmla="*/ 1059367 w 3579070"/>
                    <a:gd name="connsiteY39" fmla="*/ 3368926 h 3368926"/>
                    <a:gd name="connsiteX40" fmla="*/ 1047573 w 3579070"/>
                    <a:gd name="connsiteY40" fmla="*/ 3366545 h 3368926"/>
                    <a:gd name="connsiteX41" fmla="*/ 1047568 w 3579070"/>
                    <a:gd name="connsiteY41" fmla="*/ 3366544 h 3368926"/>
                    <a:gd name="connsiteX42" fmla="*/ 804543 w 3579070"/>
                    <a:gd name="connsiteY42" fmla="*/ 3366544 h 3368926"/>
                    <a:gd name="connsiteX43" fmla="*/ 431893 w 3579070"/>
                    <a:gd name="connsiteY43" fmla="*/ 2993894 h 3368926"/>
                    <a:gd name="connsiteX44" fmla="*/ 431893 w 3579070"/>
                    <a:gd name="connsiteY44" fmla="*/ 2081898 h 3368926"/>
                    <a:gd name="connsiteX45" fmla="*/ 375110 w 3579070"/>
                    <a:gd name="connsiteY45" fmla="*/ 2098726 h 3368926"/>
                    <a:gd name="connsiteX46" fmla="*/ 92248 w 3579070"/>
                    <a:gd name="connsiteY46" fmla="*/ 2012243 h 3368926"/>
                    <a:gd name="connsiteX47" fmla="*/ 92248 w 3579070"/>
                    <a:gd name="connsiteY47" fmla="*/ 1566828 h 3368926"/>
                    <a:gd name="connsiteX48" fmla="*/ 1566823 w 3579070"/>
                    <a:gd name="connsiteY48" fmla="*/ 92254 h 3368926"/>
                    <a:gd name="connsiteX49" fmla="*/ 1566827 w 3579070"/>
                    <a:gd name="connsiteY49" fmla="*/ 92249 h 3368926"/>
                    <a:gd name="connsiteX50" fmla="*/ 1729380 w 3579070"/>
                    <a:gd name="connsiteY50" fmla="*/ 5766 h 3368926"/>
                    <a:gd name="connsiteX51" fmla="*/ 1784115 w 3579070"/>
                    <a:gd name="connsiteY51" fmla="*/ 520 h 336892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  <a:cxn ang="0">
                      <a:pos x="connsiteX51" y="connsiteY51"/>
                    </a:cxn>
                  </a:cxnLst>
                  <a:rect l="l" t="t" r="r" b="b"/>
                  <a:pathLst>
                    <a:path w="3579070" h="3368926">
                      <a:moveTo>
                        <a:pt x="2207243" y="3366545"/>
                      </a:moveTo>
                      <a:lnTo>
                        <a:pt x="2535059" y="3366545"/>
                      </a:lnTo>
                      <a:lnTo>
                        <a:pt x="2523265" y="3368926"/>
                      </a:lnTo>
                      <a:lnTo>
                        <a:pt x="2219036" y="3368926"/>
                      </a:lnTo>
                      <a:close/>
                      <a:moveTo>
                        <a:pt x="1789535" y="0"/>
                      </a:moveTo>
                      <a:cubicBezTo>
                        <a:pt x="1870140" y="0"/>
                        <a:pt x="1950744" y="30750"/>
                        <a:pt x="2012243" y="92249"/>
                      </a:cubicBezTo>
                      <a:lnTo>
                        <a:pt x="2012247" y="92254"/>
                      </a:lnTo>
                      <a:lnTo>
                        <a:pt x="3486822" y="1566828"/>
                      </a:lnTo>
                      <a:cubicBezTo>
                        <a:pt x="3609820" y="1689826"/>
                        <a:pt x="3609820" y="1889246"/>
                        <a:pt x="3486822" y="2012243"/>
                      </a:cubicBezTo>
                      <a:cubicBezTo>
                        <a:pt x="3409949" y="2089117"/>
                        <a:pt x="3303223" y="2117945"/>
                        <a:pt x="3203960" y="2098726"/>
                      </a:cubicBezTo>
                      <a:lnTo>
                        <a:pt x="3147176" y="2081898"/>
                      </a:lnTo>
                      <a:lnTo>
                        <a:pt x="3147176" y="2993894"/>
                      </a:lnTo>
                      <a:cubicBezTo>
                        <a:pt x="3147176" y="3199703"/>
                        <a:pt x="2980335" y="3366544"/>
                        <a:pt x="2774526" y="3366544"/>
                      </a:cubicBezTo>
                      <a:lnTo>
                        <a:pt x="2535059" y="3366544"/>
                      </a:lnTo>
                      <a:lnTo>
                        <a:pt x="2207243" y="3366544"/>
                      </a:lnTo>
                      <a:lnTo>
                        <a:pt x="2182467" y="3361542"/>
                      </a:lnTo>
                      <a:cubicBezTo>
                        <a:pt x="2159988" y="3352034"/>
                        <a:pt x="2141979" y="3334026"/>
                        <a:pt x="2132471" y="3311546"/>
                      </a:cubicBezTo>
                      <a:lnTo>
                        <a:pt x="2127469" y="3286771"/>
                      </a:lnTo>
                      <a:lnTo>
                        <a:pt x="2127469" y="3286772"/>
                      </a:lnTo>
                      <a:lnTo>
                        <a:pt x="2125088" y="3274978"/>
                      </a:lnTo>
                      <a:lnTo>
                        <a:pt x="2125088" y="3079022"/>
                      </a:lnTo>
                      <a:lnTo>
                        <a:pt x="2126378" y="3072633"/>
                      </a:lnTo>
                      <a:lnTo>
                        <a:pt x="2126378" y="2991827"/>
                      </a:lnTo>
                      <a:lnTo>
                        <a:pt x="2127469" y="2986423"/>
                      </a:lnTo>
                      <a:lnTo>
                        <a:pt x="2127469" y="2455209"/>
                      </a:lnTo>
                      <a:cubicBezTo>
                        <a:pt x="2127469" y="2364332"/>
                        <a:pt x="2053799" y="2290662"/>
                        <a:pt x="1962922" y="2290662"/>
                      </a:cubicBezTo>
                      <a:lnTo>
                        <a:pt x="1619710" y="2290662"/>
                      </a:lnTo>
                      <a:cubicBezTo>
                        <a:pt x="1528833" y="2290662"/>
                        <a:pt x="1455163" y="2364332"/>
                        <a:pt x="1455163" y="2455209"/>
                      </a:cubicBezTo>
                      <a:lnTo>
                        <a:pt x="1455163" y="3067228"/>
                      </a:lnTo>
                      <a:lnTo>
                        <a:pt x="1452782" y="3055435"/>
                      </a:lnTo>
                      <a:lnTo>
                        <a:pt x="1452782" y="3055436"/>
                      </a:lnTo>
                      <a:lnTo>
                        <a:pt x="1455163" y="3067229"/>
                      </a:lnTo>
                      <a:lnTo>
                        <a:pt x="1457544" y="3079022"/>
                      </a:lnTo>
                      <a:lnTo>
                        <a:pt x="1457544" y="3274978"/>
                      </a:lnTo>
                      <a:lnTo>
                        <a:pt x="1455163" y="3286772"/>
                      </a:lnTo>
                      <a:lnTo>
                        <a:pt x="1450161" y="3311547"/>
                      </a:lnTo>
                      <a:cubicBezTo>
                        <a:pt x="1440653" y="3334027"/>
                        <a:pt x="1422644" y="3352035"/>
                        <a:pt x="1400165" y="3361543"/>
                      </a:cubicBezTo>
                      <a:lnTo>
                        <a:pt x="1375389" y="3366545"/>
                      </a:lnTo>
                      <a:lnTo>
                        <a:pt x="1363596" y="3368926"/>
                      </a:lnTo>
                      <a:lnTo>
                        <a:pt x="1059367" y="3368926"/>
                      </a:lnTo>
                      <a:lnTo>
                        <a:pt x="1047573" y="3366545"/>
                      </a:lnTo>
                      <a:lnTo>
                        <a:pt x="1047568" y="3366544"/>
                      </a:lnTo>
                      <a:lnTo>
                        <a:pt x="804543" y="3366544"/>
                      </a:lnTo>
                      <a:cubicBezTo>
                        <a:pt x="598734" y="3366544"/>
                        <a:pt x="431893" y="3199703"/>
                        <a:pt x="431893" y="2993894"/>
                      </a:cubicBezTo>
                      <a:lnTo>
                        <a:pt x="431893" y="2081898"/>
                      </a:lnTo>
                      <a:lnTo>
                        <a:pt x="375110" y="2098726"/>
                      </a:lnTo>
                      <a:cubicBezTo>
                        <a:pt x="275847" y="2117945"/>
                        <a:pt x="169121" y="2089117"/>
                        <a:pt x="92248" y="2012243"/>
                      </a:cubicBezTo>
                      <a:cubicBezTo>
                        <a:pt x="-30750" y="1889246"/>
                        <a:pt x="-30750" y="1689826"/>
                        <a:pt x="92248" y="1566828"/>
                      </a:cubicBezTo>
                      <a:lnTo>
                        <a:pt x="1566823" y="92254"/>
                      </a:lnTo>
                      <a:lnTo>
                        <a:pt x="1566827" y="92249"/>
                      </a:lnTo>
                      <a:cubicBezTo>
                        <a:pt x="1612951" y="46124"/>
                        <a:pt x="1669822" y="17297"/>
                        <a:pt x="1729380" y="5766"/>
                      </a:cubicBezTo>
                      <a:lnTo>
                        <a:pt x="1784115" y="520"/>
                      </a:lnTo>
                      <a:close/>
                    </a:path>
                  </a:pathLst>
                </a:custGeom>
                <a:noFill/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/>
                </a:p>
              </xdr:txBody>
            </xdr:sp>
          </xdr:grpSp>
        </xdr:grpSp>
        <xdr:sp macro="" textlink="">
          <xdr:nvSpPr>
            <xdr:cNvPr id="65" name="Forma Livre: Forma 64">
              <a:extLst>
                <a:ext uri="{FF2B5EF4-FFF2-40B4-BE49-F238E27FC236}">
                  <a16:creationId xmlns:a16="http://schemas.microsoft.com/office/drawing/2014/main" id="{00000000-0008-0000-0300-000041000000}"/>
                </a:ext>
              </a:extLst>
            </xdr:cNvPr>
            <xdr:cNvSpPr/>
          </xdr:nvSpPr>
          <xdr:spPr>
            <a:xfrm>
              <a:off x="1569244" y="190501"/>
              <a:ext cx="176212" cy="90310"/>
            </a:xfrm>
            <a:custGeom>
              <a:avLst/>
              <a:gdLst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53778 w 8618536"/>
                <a:gd name="connsiteY41" fmla="*/ 1609322 h 2668736"/>
                <a:gd name="connsiteX42" fmla="*/ 1865802 w 8618536"/>
                <a:gd name="connsiteY42" fmla="*/ 1609322 h 2668736"/>
                <a:gd name="connsiteX43" fmla="*/ 442396 w 8618536"/>
                <a:gd name="connsiteY43" fmla="*/ 2433210 h 2668736"/>
                <a:gd name="connsiteX44" fmla="*/ 1855398 w 8618536"/>
                <a:gd name="connsiteY44" fmla="*/ 2433210 h 2668736"/>
                <a:gd name="connsiteX45" fmla="*/ 1853778 w 8618536"/>
                <a:gd name="connsiteY45" fmla="*/ 2434185 h 2668736"/>
                <a:gd name="connsiteX46" fmla="*/ 2822946 w 8618536"/>
                <a:gd name="connsiteY46" fmla="*/ 2434185 h 2668736"/>
                <a:gd name="connsiteX47" fmla="*/ 2821326 w 8618536"/>
                <a:gd name="connsiteY47" fmla="*/ 2433210 h 2668736"/>
                <a:gd name="connsiteX48" fmla="*/ 4190999 w 8618536"/>
                <a:gd name="connsiteY48" fmla="*/ 2433210 h 2668736"/>
                <a:gd name="connsiteX49" fmla="*/ 4190999 w 8618536"/>
                <a:gd name="connsiteY49" fmla="*/ 2408443 h 2668736"/>
                <a:gd name="connsiteX50" fmla="*/ 2810382 w 8618536"/>
                <a:gd name="connsiteY50" fmla="*/ 1609322 h 2668736"/>
                <a:gd name="connsiteX51" fmla="*/ 2822946 w 8618536"/>
                <a:gd name="connsiteY51" fmla="*/ 1609322 h 2668736"/>
                <a:gd name="connsiteX52" fmla="*/ 2338362 w 8618536"/>
                <a:gd name="connsiteY52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10382 w 8618536"/>
                <a:gd name="connsiteY49" fmla="*/ 1609322 h 2668736"/>
                <a:gd name="connsiteX50" fmla="*/ 2822946 w 8618536"/>
                <a:gd name="connsiteY50" fmla="*/ 1609322 h 2668736"/>
                <a:gd name="connsiteX51" fmla="*/ 2338362 w 8618536"/>
                <a:gd name="connsiteY51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22946 w 8618536"/>
                <a:gd name="connsiteY49" fmla="*/ 1609322 h 2668736"/>
                <a:gd name="connsiteX50" fmla="*/ 2338362 w 8618536"/>
                <a:gd name="connsiteY50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4190999 w 8618536"/>
                <a:gd name="connsiteY47" fmla="*/ 2408443 h 2668736"/>
                <a:gd name="connsiteX48" fmla="*/ 2822946 w 8618536"/>
                <a:gd name="connsiteY48" fmla="*/ 1609322 h 2668736"/>
                <a:gd name="connsiteX49" fmla="*/ 2338362 w 8618536"/>
                <a:gd name="connsiteY49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86851 w 8618536"/>
                <a:gd name="connsiteY27" fmla="*/ 243956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62225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</a:cxnLst>
              <a:rect l="l" t="t" r="r" b="b"/>
              <a:pathLst>
                <a:path w="8618536" h="2668736">
                  <a:moveTo>
                    <a:pt x="4417215" y="0"/>
                  </a:moveTo>
                  <a:lnTo>
                    <a:pt x="8611683" y="2427820"/>
                  </a:lnTo>
                  <a:lnTo>
                    <a:pt x="8618088" y="2433210"/>
                  </a:lnTo>
                  <a:cubicBezTo>
                    <a:pt x="8618237" y="2509338"/>
                    <a:pt x="8618387" y="2585466"/>
                    <a:pt x="8618536" y="2661594"/>
                  </a:cubicBezTo>
                  <a:lnTo>
                    <a:pt x="6369626" y="2659212"/>
                  </a:lnTo>
                  <a:lnTo>
                    <a:pt x="6143624" y="2659212"/>
                  </a:lnTo>
                  <a:lnTo>
                    <a:pt x="4417001" y="2659212"/>
                  </a:lnTo>
                  <a:lnTo>
                    <a:pt x="4417001" y="2659213"/>
                  </a:lnTo>
                  <a:lnTo>
                    <a:pt x="4190999" y="2659213"/>
                  </a:lnTo>
                  <a:lnTo>
                    <a:pt x="4190999" y="2659212"/>
                  </a:lnTo>
                  <a:lnTo>
                    <a:pt x="0" y="2668736"/>
                  </a:lnTo>
                  <a:cubicBezTo>
                    <a:pt x="1226" y="2590227"/>
                    <a:pt x="2451" y="2511719"/>
                    <a:pt x="3677" y="2433210"/>
                  </a:cubicBezTo>
                  <a:lnTo>
                    <a:pt x="558" y="2427822"/>
                  </a:lnTo>
                  <a:lnTo>
                    <a:pt x="4190999" y="2333"/>
                  </a:lnTo>
                  <a:lnTo>
                    <a:pt x="4190999" y="5"/>
                  </a:lnTo>
                  <a:lnTo>
                    <a:pt x="4195022" y="5"/>
                  </a:lnTo>
                  <a:cubicBezTo>
                    <a:pt x="4195024" y="4"/>
                    <a:pt x="4195025" y="3"/>
                    <a:pt x="4195027" y="2"/>
                  </a:cubicBezTo>
                  <a:cubicBezTo>
                    <a:pt x="4195028" y="3"/>
                    <a:pt x="4195028" y="4"/>
                    <a:pt x="4195029" y="5"/>
                  </a:cubicBezTo>
                  <a:lnTo>
                    <a:pt x="4417001" y="5"/>
                  </a:lnTo>
                  <a:lnTo>
                    <a:pt x="4417001" y="369"/>
                  </a:lnTo>
                  <a:lnTo>
                    <a:pt x="4417215" y="0"/>
                  </a:lnTo>
                  <a:close/>
                  <a:moveTo>
                    <a:pt x="4417001" y="261007"/>
                  </a:moveTo>
                  <a:cubicBezTo>
                    <a:pt x="4414884" y="924111"/>
                    <a:pt x="4412768" y="1599121"/>
                    <a:pt x="4410651" y="2262225"/>
                  </a:cubicBezTo>
                  <a:lnTo>
                    <a:pt x="6044928" y="1203275"/>
                  </a:lnTo>
                  <a:lnTo>
                    <a:pt x="4417001" y="261007"/>
                  </a:lnTo>
                  <a:close/>
                  <a:moveTo>
                    <a:pt x="6268587" y="1324844"/>
                  </a:moveTo>
                  <a:lnTo>
                    <a:pt x="5828997" y="1589390"/>
                  </a:lnTo>
                  <a:lnTo>
                    <a:pt x="4524951" y="2441941"/>
                  </a:lnTo>
                  <a:lnTo>
                    <a:pt x="5785622" y="2433210"/>
                  </a:lnTo>
                  <a:lnTo>
                    <a:pt x="5784003" y="2434184"/>
                  </a:lnTo>
                  <a:lnTo>
                    <a:pt x="6753171" y="2434184"/>
                  </a:lnTo>
                  <a:lnTo>
                    <a:pt x="6751553" y="2433210"/>
                  </a:lnTo>
                  <a:lnTo>
                    <a:pt x="8169849" y="2433210"/>
                  </a:lnTo>
                  <a:lnTo>
                    <a:pt x="6611755" y="1531363"/>
                  </a:lnTo>
                  <a:lnTo>
                    <a:pt x="6268587" y="1324844"/>
                  </a:lnTo>
                  <a:close/>
                  <a:moveTo>
                    <a:pt x="4190999" y="263464"/>
                  </a:moveTo>
                  <a:lnTo>
                    <a:pt x="2563665" y="1205389"/>
                  </a:lnTo>
                  <a:lnTo>
                    <a:pt x="4187824" y="2252089"/>
                  </a:lnTo>
                  <a:cubicBezTo>
                    <a:pt x="4188882" y="1589214"/>
                    <a:pt x="4189941" y="926339"/>
                    <a:pt x="4190999" y="263464"/>
                  </a:cubicBezTo>
                  <a:close/>
                  <a:moveTo>
                    <a:pt x="2338362" y="1317699"/>
                  </a:moveTo>
                  <a:lnTo>
                    <a:pt x="1865802" y="1609322"/>
                  </a:lnTo>
                  <a:lnTo>
                    <a:pt x="442396" y="2433210"/>
                  </a:lnTo>
                  <a:lnTo>
                    <a:pt x="1855398" y="2433210"/>
                  </a:lnTo>
                  <a:lnTo>
                    <a:pt x="1853778" y="2434185"/>
                  </a:lnTo>
                  <a:lnTo>
                    <a:pt x="2822946" y="2434185"/>
                  </a:lnTo>
                  <a:lnTo>
                    <a:pt x="2821326" y="2433210"/>
                  </a:lnTo>
                  <a:lnTo>
                    <a:pt x="4063999" y="2423685"/>
                  </a:lnTo>
                  <a:lnTo>
                    <a:pt x="2822946" y="1609322"/>
                  </a:lnTo>
                  <a:lnTo>
                    <a:pt x="2338362" y="1317699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solidFill>
                <a:schemeClr val="bg1"/>
              </a:solidFill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331414</xdr:colOff>
      <xdr:row>168</xdr:row>
      <xdr:rowOff>146299</xdr:rowOff>
    </xdr:from>
    <xdr:to>
      <xdr:col>10</xdr:col>
      <xdr:colOff>442782</xdr:colOff>
      <xdr:row>175</xdr:row>
      <xdr:rowOff>46651</xdr:rowOff>
    </xdr:to>
    <xdr:pic>
      <xdr:nvPicPr>
        <xdr:cNvPr id="258" name="Imagem 257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0039" y="35293549"/>
          <a:ext cx="3997568" cy="1367202"/>
        </a:xfrm>
        <a:prstGeom prst="rect">
          <a:avLst/>
        </a:prstGeom>
      </xdr:spPr>
    </xdr:pic>
    <xdr:clientData/>
  </xdr:twoCellAnchor>
  <xdr:twoCellAnchor editAs="oneCell">
    <xdr:from>
      <xdr:col>1</xdr:col>
      <xdr:colOff>579923</xdr:colOff>
      <xdr:row>156</xdr:row>
      <xdr:rowOff>52171</xdr:rowOff>
    </xdr:from>
    <xdr:to>
      <xdr:col>7</xdr:col>
      <xdr:colOff>538359</xdr:colOff>
      <xdr:row>166</xdr:row>
      <xdr:rowOff>152671</xdr:rowOff>
    </xdr:to>
    <xdr:pic>
      <xdr:nvPicPr>
        <xdr:cNvPr id="173" name="Imagem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6698" y="32684821"/>
          <a:ext cx="4987636" cy="21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493032</xdr:colOff>
      <xdr:row>115</xdr:row>
      <xdr:rowOff>194535</xdr:rowOff>
    </xdr:from>
    <xdr:to>
      <xdr:col>3</xdr:col>
      <xdr:colOff>632345</xdr:colOff>
      <xdr:row>119</xdr:row>
      <xdr:rowOff>71578</xdr:rowOff>
    </xdr:to>
    <xdr:pic>
      <xdr:nvPicPr>
        <xdr:cNvPr id="329" name="Imagem 328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7407" y="24199946"/>
          <a:ext cx="1785088" cy="721031"/>
        </a:xfrm>
        <a:prstGeom prst="rect">
          <a:avLst/>
        </a:prstGeom>
      </xdr:spPr>
    </xdr:pic>
    <xdr:clientData/>
  </xdr:twoCellAnchor>
  <xdr:twoCellAnchor editAs="oneCell">
    <xdr:from>
      <xdr:col>1</xdr:col>
      <xdr:colOff>495076</xdr:colOff>
      <xdr:row>121</xdr:row>
      <xdr:rowOff>75860</xdr:rowOff>
    </xdr:from>
    <xdr:to>
      <xdr:col>3</xdr:col>
      <xdr:colOff>630302</xdr:colOff>
      <xdr:row>124</xdr:row>
      <xdr:rowOff>168183</xdr:rowOff>
    </xdr:to>
    <xdr:pic>
      <xdr:nvPicPr>
        <xdr:cNvPr id="330" name="Imagem 329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2127" y="25718444"/>
          <a:ext cx="1783372" cy="734458"/>
        </a:xfrm>
        <a:prstGeom prst="rect">
          <a:avLst/>
        </a:prstGeom>
      </xdr:spPr>
    </xdr:pic>
    <xdr:clientData/>
  </xdr:twoCellAnchor>
  <xdr:twoCellAnchor editAs="oneCell">
    <xdr:from>
      <xdr:col>1</xdr:col>
      <xdr:colOff>495566</xdr:colOff>
      <xdr:row>126</xdr:row>
      <xdr:rowOff>146881</xdr:rowOff>
    </xdr:from>
    <xdr:to>
      <xdr:col>3</xdr:col>
      <xdr:colOff>629811</xdr:colOff>
      <xdr:row>128</xdr:row>
      <xdr:rowOff>78018</xdr:rowOff>
    </xdr:to>
    <xdr:pic>
      <xdr:nvPicPr>
        <xdr:cNvPr id="331" name="Imagem 330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9941" y="26473258"/>
          <a:ext cx="1780020" cy="353130"/>
        </a:xfrm>
        <a:prstGeom prst="rect">
          <a:avLst/>
        </a:prstGeom>
      </xdr:spPr>
    </xdr:pic>
    <xdr:clientData/>
  </xdr:twoCellAnchor>
  <xdr:twoCellAnchor editAs="oneCell">
    <xdr:from>
      <xdr:col>7</xdr:col>
      <xdr:colOff>211950</xdr:colOff>
      <xdr:row>115</xdr:row>
      <xdr:rowOff>124060</xdr:rowOff>
    </xdr:from>
    <xdr:to>
      <xdr:col>9</xdr:col>
      <xdr:colOff>712459</xdr:colOff>
      <xdr:row>119</xdr:row>
      <xdr:rowOff>59198</xdr:rowOff>
    </xdr:to>
    <xdr:pic>
      <xdr:nvPicPr>
        <xdr:cNvPr id="332" name="Imagem 331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0881" y="24258439"/>
          <a:ext cx="1807733" cy="775966"/>
        </a:xfrm>
        <a:prstGeom prst="rect">
          <a:avLst/>
        </a:prstGeom>
      </xdr:spPr>
    </xdr:pic>
    <xdr:clientData/>
  </xdr:twoCellAnchor>
  <xdr:twoCellAnchor editAs="oneCell">
    <xdr:from>
      <xdr:col>7</xdr:col>
      <xdr:colOff>211950</xdr:colOff>
      <xdr:row>121</xdr:row>
      <xdr:rowOff>67523</xdr:rowOff>
    </xdr:from>
    <xdr:to>
      <xdr:col>9</xdr:col>
      <xdr:colOff>712459</xdr:colOff>
      <xdr:row>124</xdr:row>
      <xdr:rowOff>158911</xdr:rowOff>
    </xdr:to>
    <xdr:pic>
      <xdr:nvPicPr>
        <xdr:cNvPr id="333" name="Imagem 332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10881" y="25463144"/>
          <a:ext cx="1807733" cy="722008"/>
        </a:xfrm>
        <a:prstGeom prst="rect">
          <a:avLst/>
        </a:prstGeom>
      </xdr:spPr>
    </xdr:pic>
    <xdr:clientData/>
  </xdr:twoCellAnchor>
  <xdr:twoCellAnchor editAs="oneCell">
    <xdr:from>
      <xdr:col>7</xdr:col>
      <xdr:colOff>211950</xdr:colOff>
      <xdr:row>126</xdr:row>
      <xdr:rowOff>149409</xdr:rowOff>
    </xdr:from>
    <xdr:to>
      <xdr:col>9</xdr:col>
      <xdr:colOff>712459</xdr:colOff>
      <xdr:row>128</xdr:row>
      <xdr:rowOff>84467</xdr:rowOff>
    </xdr:to>
    <xdr:pic>
      <xdr:nvPicPr>
        <xdr:cNvPr id="334" name="Imagem 333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10881" y="26596064"/>
          <a:ext cx="1807733" cy="355472"/>
        </a:xfrm>
        <a:prstGeom prst="rect">
          <a:avLst/>
        </a:prstGeom>
      </xdr:spPr>
    </xdr:pic>
    <xdr:clientData/>
  </xdr:twoCellAnchor>
  <xdr:twoCellAnchor editAs="oneCell">
    <xdr:from>
      <xdr:col>4</xdr:col>
      <xdr:colOff>383543</xdr:colOff>
      <xdr:row>115</xdr:row>
      <xdr:rowOff>131503</xdr:rowOff>
    </xdr:from>
    <xdr:to>
      <xdr:col>6</xdr:col>
      <xdr:colOff>371262</xdr:colOff>
      <xdr:row>119</xdr:row>
      <xdr:rowOff>131811</xdr:rowOff>
    </xdr:to>
    <xdr:pic>
      <xdr:nvPicPr>
        <xdr:cNvPr id="341" name="Imagem 340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99738" y="24136914"/>
          <a:ext cx="1790234" cy="844296"/>
        </a:xfrm>
        <a:prstGeom prst="rect">
          <a:avLst/>
        </a:prstGeom>
      </xdr:spPr>
    </xdr:pic>
    <xdr:clientData/>
  </xdr:twoCellAnchor>
  <xdr:twoCellAnchor editAs="oneCell">
    <xdr:from>
      <xdr:col>4</xdr:col>
      <xdr:colOff>368463</xdr:colOff>
      <xdr:row>121</xdr:row>
      <xdr:rowOff>71881</xdr:rowOff>
    </xdr:from>
    <xdr:to>
      <xdr:col>6</xdr:col>
      <xdr:colOff>369219</xdr:colOff>
      <xdr:row>124</xdr:row>
      <xdr:rowOff>164204</xdr:rowOff>
    </xdr:to>
    <xdr:pic>
      <xdr:nvPicPr>
        <xdr:cNvPr id="342" name="Imagem 341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9839" y="25714465"/>
          <a:ext cx="1798734" cy="734458"/>
        </a:xfrm>
        <a:prstGeom prst="rect">
          <a:avLst/>
        </a:prstGeom>
      </xdr:spPr>
    </xdr:pic>
    <xdr:clientData/>
  </xdr:twoCellAnchor>
  <xdr:twoCellAnchor editAs="oneCell">
    <xdr:from>
      <xdr:col>4</xdr:col>
      <xdr:colOff>368953</xdr:colOff>
      <xdr:row>126</xdr:row>
      <xdr:rowOff>153604</xdr:rowOff>
    </xdr:from>
    <xdr:to>
      <xdr:col>6</xdr:col>
      <xdr:colOff>368728</xdr:colOff>
      <xdr:row>128</xdr:row>
      <xdr:rowOff>84741</xdr:rowOff>
    </xdr:to>
    <xdr:pic>
      <xdr:nvPicPr>
        <xdr:cNvPr id="343" name="Imagem 342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85148" y="26479981"/>
          <a:ext cx="1802290" cy="353130"/>
        </a:xfrm>
        <a:prstGeom prst="rect">
          <a:avLst/>
        </a:prstGeom>
      </xdr:spPr>
    </xdr:pic>
    <xdr:clientData/>
  </xdr:twoCellAnchor>
  <xdr:twoCellAnchor editAs="oneCell">
    <xdr:from>
      <xdr:col>10</xdr:col>
      <xdr:colOff>289877</xdr:colOff>
      <xdr:row>115</xdr:row>
      <xdr:rowOff>130783</xdr:rowOff>
    </xdr:from>
    <xdr:to>
      <xdr:col>12</xdr:col>
      <xdr:colOff>318227</xdr:colOff>
      <xdr:row>119</xdr:row>
      <xdr:rowOff>65921</xdr:rowOff>
    </xdr:to>
    <xdr:pic>
      <xdr:nvPicPr>
        <xdr:cNvPr id="344" name="Imagem 343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22256" y="24265162"/>
          <a:ext cx="1801971" cy="775966"/>
        </a:xfrm>
        <a:prstGeom prst="rect">
          <a:avLst/>
        </a:prstGeom>
      </xdr:spPr>
    </xdr:pic>
    <xdr:clientData/>
  </xdr:twoCellAnchor>
  <xdr:twoCellAnchor editAs="oneCell">
    <xdr:from>
      <xdr:col>10</xdr:col>
      <xdr:colOff>289877</xdr:colOff>
      <xdr:row>121</xdr:row>
      <xdr:rowOff>74246</xdr:rowOff>
    </xdr:from>
    <xdr:to>
      <xdr:col>12</xdr:col>
      <xdr:colOff>318227</xdr:colOff>
      <xdr:row>124</xdr:row>
      <xdr:rowOff>165634</xdr:rowOff>
    </xdr:to>
    <xdr:pic>
      <xdr:nvPicPr>
        <xdr:cNvPr id="345" name="Imagem 344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22256" y="25469867"/>
          <a:ext cx="1801971" cy="722008"/>
        </a:xfrm>
        <a:prstGeom prst="rect">
          <a:avLst/>
        </a:prstGeom>
      </xdr:spPr>
    </xdr:pic>
    <xdr:clientData/>
  </xdr:twoCellAnchor>
  <xdr:twoCellAnchor editAs="oneCell">
    <xdr:from>
      <xdr:col>10</xdr:col>
      <xdr:colOff>289877</xdr:colOff>
      <xdr:row>126</xdr:row>
      <xdr:rowOff>145430</xdr:rowOff>
    </xdr:from>
    <xdr:to>
      <xdr:col>12</xdr:col>
      <xdr:colOff>318227</xdr:colOff>
      <xdr:row>128</xdr:row>
      <xdr:rowOff>80488</xdr:rowOff>
    </xdr:to>
    <xdr:pic>
      <xdr:nvPicPr>
        <xdr:cNvPr id="346" name="Imagem 345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22256" y="26592085"/>
          <a:ext cx="1801971" cy="355472"/>
        </a:xfrm>
        <a:prstGeom prst="rect">
          <a:avLst/>
        </a:prstGeom>
      </xdr:spPr>
    </xdr:pic>
    <xdr:clientData/>
  </xdr:twoCellAnchor>
  <xdr:twoCellAnchor editAs="oneCell">
    <xdr:from>
      <xdr:col>19</xdr:col>
      <xdr:colOff>264113</xdr:colOff>
      <xdr:row>115</xdr:row>
      <xdr:rowOff>150174</xdr:rowOff>
    </xdr:from>
    <xdr:to>
      <xdr:col>21</xdr:col>
      <xdr:colOff>652141</xdr:colOff>
      <xdr:row>119</xdr:row>
      <xdr:rowOff>85578</xdr:rowOff>
    </xdr:to>
    <xdr:pic>
      <xdr:nvPicPr>
        <xdr:cNvPr id="347" name="Imagem 346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43242" y="24508489"/>
          <a:ext cx="1800725" cy="791583"/>
        </a:xfrm>
        <a:prstGeom prst="rect">
          <a:avLst/>
        </a:prstGeom>
      </xdr:spPr>
    </xdr:pic>
    <xdr:clientData/>
  </xdr:twoCellAnchor>
  <xdr:twoCellAnchor editAs="oneCell">
    <xdr:from>
      <xdr:col>19</xdr:col>
      <xdr:colOff>264113</xdr:colOff>
      <xdr:row>121</xdr:row>
      <xdr:rowOff>83201</xdr:rowOff>
    </xdr:from>
    <xdr:to>
      <xdr:col>21</xdr:col>
      <xdr:colOff>652141</xdr:colOff>
      <xdr:row>124</xdr:row>
      <xdr:rowOff>174323</xdr:rowOff>
    </xdr:to>
    <xdr:pic>
      <xdr:nvPicPr>
        <xdr:cNvPr id="348" name="Imagem 347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643242" y="25725785"/>
          <a:ext cx="1800725" cy="733257"/>
        </a:xfrm>
        <a:prstGeom prst="rect">
          <a:avLst/>
        </a:prstGeom>
      </xdr:spPr>
    </xdr:pic>
    <xdr:clientData/>
  </xdr:twoCellAnchor>
  <xdr:twoCellAnchor editAs="oneCell">
    <xdr:from>
      <xdr:col>19</xdr:col>
      <xdr:colOff>264113</xdr:colOff>
      <xdr:row>126</xdr:row>
      <xdr:rowOff>143417</xdr:rowOff>
    </xdr:from>
    <xdr:to>
      <xdr:col>21</xdr:col>
      <xdr:colOff>652141</xdr:colOff>
      <xdr:row>128</xdr:row>
      <xdr:rowOff>78475</xdr:rowOff>
    </xdr:to>
    <xdr:pic>
      <xdr:nvPicPr>
        <xdr:cNvPr id="349" name="Imagem 348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27697" y="26469794"/>
          <a:ext cx="1795678" cy="357051"/>
        </a:xfrm>
        <a:prstGeom prst="rect">
          <a:avLst/>
        </a:prstGeom>
      </xdr:spPr>
    </xdr:pic>
    <xdr:clientData/>
  </xdr:twoCellAnchor>
  <xdr:twoCellAnchor editAs="oneCell">
    <xdr:from>
      <xdr:col>15</xdr:col>
      <xdr:colOff>719217</xdr:colOff>
      <xdr:row>115</xdr:row>
      <xdr:rowOff>125778</xdr:rowOff>
    </xdr:from>
    <xdr:to>
      <xdr:col>18</xdr:col>
      <xdr:colOff>81390</xdr:colOff>
      <xdr:row>119</xdr:row>
      <xdr:rowOff>126085</xdr:rowOff>
    </xdr:to>
    <xdr:pic>
      <xdr:nvPicPr>
        <xdr:cNvPr id="350" name="Imagem 349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83632" y="24131189"/>
          <a:ext cx="1752465" cy="844295"/>
        </a:xfrm>
        <a:prstGeom prst="rect">
          <a:avLst/>
        </a:prstGeom>
      </xdr:spPr>
    </xdr:pic>
    <xdr:clientData/>
  </xdr:twoCellAnchor>
  <xdr:twoCellAnchor editAs="oneCell">
    <xdr:from>
      <xdr:col>15</xdr:col>
      <xdr:colOff>697449</xdr:colOff>
      <xdr:row>121</xdr:row>
      <xdr:rowOff>76590</xdr:rowOff>
    </xdr:from>
    <xdr:to>
      <xdr:col>18</xdr:col>
      <xdr:colOff>79347</xdr:colOff>
      <xdr:row>124</xdr:row>
      <xdr:rowOff>168914</xdr:rowOff>
    </xdr:to>
    <xdr:pic>
      <xdr:nvPicPr>
        <xdr:cNvPr id="351" name="Imagem 350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79949" y="25719174"/>
          <a:ext cx="1768499" cy="734459"/>
        </a:xfrm>
        <a:prstGeom prst="rect">
          <a:avLst/>
        </a:prstGeom>
      </xdr:spPr>
    </xdr:pic>
    <xdr:clientData/>
  </xdr:twoCellAnchor>
  <xdr:twoCellAnchor editAs="oneCell">
    <xdr:from>
      <xdr:col>15</xdr:col>
      <xdr:colOff>697939</xdr:colOff>
      <xdr:row>126</xdr:row>
      <xdr:rowOff>147612</xdr:rowOff>
    </xdr:from>
    <xdr:to>
      <xdr:col>18</xdr:col>
      <xdr:colOff>78856</xdr:colOff>
      <xdr:row>128</xdr:row>
      <xdr:rowOff>78749</xdr:rowOff>
    </xdr:to>
    <xdr:pic>
      <xdr:nvPicPr>
        <xdr:cNvPr id="352" name="Imagem 351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62354" y="26473989"/>
          <a:ext cx="1771209" cy="353130"/>
        </a:xfrm>
        <a:prstGeom prst="rect">
          <a:avLst/>
        </a:prstGeom>
      </xdr:spPr>
    </xdr:pic>
    <xdr:clientData/>
  </xdr:twoCellAnchor>
  <xdr:twoCellAnchor editAs="oneCell">
    <xdr:from>
      <xdr:col>4</xdr:col>
      <xdr:colOff>342773</xdr:colOff>
      <xdr:row>70</xdr:row>
      <xdr:rowOff>100180</xdr:rowOff>
    </xdr:from>
    <xdr:to>
      <xdr:col>6</xdr:col>
      <xdr:colOff>347616</xdr:colOff>
      <xdr:row>73</xdr:row>
      <xdr:rowOff>190134</xdr:rowOff>
    </xdr:to>
    <xdr:pic>
      <xdr:nvPicPr>
        <xdr:cNvPr id="312" name="Imagem 311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64149" y="14847877"/>
          <a:ext cx="1802821" cy="732088"/>
        </a:xfrm>
        <a:prstGeom prst="rect">
          <a:avLst/>
        </a:prstGeom>
      </xdr:spPr>
    </xdr:pic>
    <xdr:clientData/>
  </xdr:twoCellAnchor>
  <xdr:twoCellAnchor editAs="oneCell">
    <xdr:from>
      <xdr:col>7</xdr:col>
      <xdr:colOff>274911</xdr:colOff>
      <xdr:row>71</xdr:row>
      <xdr:rowOff>109945</xdr:rowOff>
    </xdr:from>
    <xdr:to>
      <xdr:col>9</xdr:col>
      <xdr:colOff>769986</xdr:colOff>
      <xdr:row>73</xdr:row>
      <xdr:rowOff>171185</xdr:rowOff>
    </xdr:to>
    <xdr:pic>
      <xdr:nvPicPr>
        <xdr:cNvPr id="152" name="Imagem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21197" y="14699881"/>
          <a:ext cx="1798680" cy="478393"/>
        </a:xfrm>
        <a:prstGeom prst="rect">
          <a:avLst/>
        </a:prstGeom>
      </xdr:spPr>
    </xdr:pic>
    <xdr:clientData/>
  </xdr:twoCellAnchor>
  <xdr:twoCellAnchor editAs="oneCell">
    <xdr:from>
      <xdr:col>1</xdr:col>
      <xdr:colOff>324217</xdr:colOff>
      <xdr:row>71</xdr:row>
      <xdr:rowOff>117621</xdr:rowOff>
    </xdr:from>
    <xdr:to>
      <xdr:col>3</xdr:col>
      <xdr:colOff>476392</xdr:colOff>
      <xdr:row>73</xdr:row>
      <xdr:rowOff>173447</xdr:rowOff>
    </xdr:to>
    <xdr:pic>
      <xdr:nvPicPr>
        <xdr:cNvPr id="149" name="Imagem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40330" y="14707557"/>
          <a:ext cx="1799931" cy="472979"/>
        </a:xfrm>
        <a:prstGeom prst="rect">
          <a:avLst/>
        </a:prstGeom>
      </xdr:spPr>
    </xdr:pic>
    <xdr:clientData/>
  </xdr:twoCellAnchor>
  <xdr:twoCellAnchor editAs="oneCell">
    <xdr:from>
      <xdr:col>1</xdr:col>
      <xdr:colOff>384778</xdr:colOff>
      <xdr:row>34</xdr:row>
      <xdr:rowOff>56430</xdr:rowOff>
    </xdr:from>
    <xdr:to>
      <xdr:col>3</xdr:col>
      <xdr:colOff>537934</xdr:colOff>
      <xdr:row>37</xdr:row>
      <xdr:rowOff>147780</xdr:rowOff>
    </xdr:to>
    <xdr:pic>
      <xdr:nvPicPr>
        <xdr:cNvPr id="147" name="Imagem 146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0315" y="6942308"/>
          <a:ext cx="1802607" cy="718606"/>
        </a:xfrm>
        <a:prstGeom prst="rect">
          <a:avLst/>
        </a:prstGeom>
      </xdr:spPr>
    </xdr:pic>
    <xdr:clientData/>
  </xdr:twoCellAnchor>
  <xdr:twoCellAnchor editAs="oneCell">
    <xdr:from>
      <xdr:col>4</xdr:col>
      <xdr:colOff>357564</xdr:colOff>
      <xdr:row>34</xdr:row>
      <xdr:rowOff>56430</xdr:rowOff>
    </xdr:from>
    <xdr:to>
      <xdr:col>6</xdr:col>
      <xdr:colOff>357391</xdr:colOff>
      <xdr:row>37</xdr:row>
      <xdr:rowOff>147780</xdr:rowOff>
    </xdr:to>
    <xdr:pic>
      <xdr:nvPicPr>
        <xdr:cNvPr id="309" name="Imagem 308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2125" y="6942308"/>
          <a:ext cx="1802607" cy="718606"/>
        </a:xfrm>
        <a:prstGeom prst="rect">
          <a:avLst/>
        </a:prstGeom>
      </xdr:spPr>
    </xdr:pic>
    <xdr:clientData/>
  </xdr:twoCellAnchor>
  <xdr:twoCellAnchor>
    <xdr:from>
      <xdr:col>4</xdr:col>
      <xdr:colOff>357564</xdr:colOff>
      <xdr:row>28</xdr:row>
      <xdr:rowOff>188530</xdr:rowOff>
    </xdr:from>
    <xdr:to>
      <xdr:col>6</xdr:col>
      <xdr:colOff>362407</xdr:colOff>
      <xdr:row>32</xdr:row>
      <xdr:rowOff>71208</xdr:rowOff>
    </xdr:to>
    <xdr:pic>
      <xdr:nvPicPr>
        <xdr:cNvPr id="306" name="Imagem 305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79735" y="5892644"/>
          <a:ext cx="1806429" cy="731764"/>
        </a:xfrm>
        <a:prstGeom prst="rect">
          <a:avLst/>
        </a:prstGeom>
      </xdr:spPr>
    </xdr:pic>
    <xdr:clientData/>
  </xdr:twoCellAnchor>
  <xdr:twoCellAnchor editAs="oneCell">
    <xdr:from>
      <xdr:col>1</xdr:col>
      <xdr:colOff>384778</xdr:colOff>
      <xdr:row>28</xdr:row>
      <xdr:rowOff>188530</xdr:rowOff>
    </xdr:from>
    <xdr:to>
      <xdr:col>3</xdr:col>
      <xdr:colOff>542021</xdr:colOff>
      <xdr:row>32</xdr:row>
      <xdr:rowOff>71208</xdr:rowOff>
    </xdr:to>
    <xdr:pic>
      <xdr:nvPicPr>
        <xdr:cNvPr id="143" name="Imagem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7792" y="5892644"/>
          <a:ext cx="1806429" cy="731764"/>
        </a:xfrm>
        <a:prstGeom prst="rect">
          <a:avLst/>
        </a:prstGeom>
      </xdr:spPr>
    </xdr:pic>
    <xdr:clientData/>
  </xdr:twoCellAnchor>
  <xdr:twoCellAnchor editAs="oneCell">
    <xdr:from>
      <xdr:col>1</xdr:col>
      <xdr:colOff>384778</xdr:colOff>
      <xdr:row>39</xdr:row>
      <xdr:rowOff>91144</xdr:rowOff>
    </xdr:from>
    <xdr:to>
      <xdr:col>3</xdr:col>
      <xdr:colOff>536953</xdr:colOff>
      <xdr:row>41</xdr:row>
      <xdr:rowOff>24986</xdr:rowOff>
    </xdr:to>
    <xdr:pic>
      <xdr:nvPicPr>
        <xdr:cNvPr id="141" name="Imagem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9153" y="8034994"/>
          <a:ext cx="1800000" cy="352942"/>
        </a:xfrm>
        <a:prstGeom prst="rect">
          <a:avLst/>
        </a:prstGeom>
      </xdr:spPr>
    </xdr:pic>
    <xdr:clientData/>
  </xdr:twoCellAnchor>
  <xdr:twoCellAnchor>
    <xdr:from>
      <xdr:col>4</xdr:col>
      <xdr:colOff>357564</xdr:colOff>
      <xdr:row>39</xdr:row>
      <xdr:rowOff>91144</xdr:rowOff>
    </xdr:from>
    <xdr:to>
      <xdr:col>6</xdr:col>
      <xdr:colOff>357339</xdr:colOff>
      <xdr:row>41</xdr:row>
      <xdr:rowOff>24986</xdr:rowOff>
    </xdr:to>
    <xdr:pic>
      <xdr:nvPicPr>
        <xdr:cNvPr id="308" name="Imagem 307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79735" y="8130244"/>
          <a:ext cx="1801361" cy="358385"/>
        </a:xfrm>
        <a:prstGeom prst="rect">
          <a:avLst/>
        </a:prstGeom>
      </xdr:spPr>
    </xdr:pic>
    <xdr:clientData/>
  </xdr:twoCellAnchor>
  <xdr:twoCellAnchor editAs="oneCell">
    <xdr:from>
      <xdr:col>4</xdr:col>
      <xdr:colOff>344817</xdr:colOff>
      <xdr:row>75</xdr:row>
      <xdr:rowOff>194416</xdr:rowOff>
    </xdr:from>
    <xdr:to>
      <xdr:col>6</xdr:col>
      <xdr:colOff>345573</xdr:colOff>
      <xdr:row>79</xdr:row>
      <xdr:rowOff>73828</xdr:rowOff>
    </xdr:to>
    <xdr:pic>
      <xdr:nvPicPr>
        <xdr:cNvPr id="311" name="Imagem 310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70179" y="15730019"/>
          <a:ext cx="1800653" cy="720240"/>
        </a:xfrm>
        <a:prstGeom prst="rect">
          <a:avLst/>
        </a:prstGeom>
      </xdr:spPr>
    </xdr:pic>
    <xdr:clientData/>
  </xdr:twoCellAnchor>
  <xdr:twoCellAnchor editAs="oneCell">
    <xdr:from>
      <xdr:col>4</xdr:col>
      <xdr:colOff>345307</xdr:colOff>
      <xdr:row>81</xdr:row>
      <xdr:rowOff>52526</xdr:rowOff>
    </xdr:from>
    <xdr:to>
      <xdr:col>6</xdr:col>
      <xdr:colOff>345082</xdr:colOff>
      <xdr:row>82</xdr:row>
      <xdr:rowOff>196575</xdr:rowOff>
    </xdr:to>
    <xdr:pic>
      <xdr:nvPicPr>
        <xdr:cNvPr id="313" name="Imagem 312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68567" y="16801286"/>
          <a:ext cx="1801905" cy="353599"/>
        </a:xfrm>
        <a:prstGeom prst="rect">
          <a:avLst/>
        </a:prstGeom>
      </xdr:spPr>
    </xdr:pic>
    <xdr:clientData/>
  </xdr:twoCellAnchor>
  <xdr:twoCellAnchor editAs="oneCell">
    <xdr:from>
      <xdr:col>1</xdr:col>
      <xdr:colOff>324217</xdr:colOff>
      <xdr:row>76</xdr:row>
      <xdr:rowOff>32972</xdr:rowOff>
    </xdr:from>
    <xdr:to>
      <xdr:col>3</xdr:col>
      <xdr:colOff>476392</xdr:colOff>
      <xdr:row>78</xdr:row>
      <xdr:rowOff>37976</xdr:rowOff>
    </xdr:to>
    <xdr:pic>
      <xdr:nvPicPr>
        <xdr:cNvPr id="151" name="Imagem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0234" y="15778782"/>
          <a:ext cx="1800986" cy="425418"/>
        </a:xfrm>
        <a:prstGeom prst="rect">
          <a:avLst/>
        </a:prstGeom>
      </xdr:spPr>
    </xdr:pic>
    <xdr:clientData/>
  </xdr:twoCellAnchor>
  <xdr:twoCellAnchor editAs="oneCell">
    <xdr:from>
      <xdr:col>7</xdr:col>
      <xdr:colOff>274911</xdr:colOff>
      <xdr:row>75</xdr:row>
      <xdr:rowOff>126705</xdr:rowOff>
    </xdr:from>
    <xdr:to>
      <xdr:col>9</xdr:col>
      <xdr:colOff>769986</xdr:colOff>
      <xdr:row>78</xdr:row>
      <xdr:rowOff>15217</xdr:rowOff>
    </xdr:to>
    <xdr:pic>
      <xdr:nvPicPr>
        <xdr:cNvPr id="154" name="Imagem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22756" y="15662308"/>
          <a:ext cx="1802299" cy="519133"/>
        </a:xfrm>
        <a:prstGeom prst="rect">
          <a:avLst/>
        </a:prstGeom>
      </xdr:spPr>
    </xdr:pic>
    <xdr:clientData/>
  </xdr:twoCellAnchor>
  <xdr:twoCellAnchor editAs="oneCell">
    <xdr:from>
      <xdr:col>10</xdr:col>
      <xdr:colOff>423370</xdr:colOff>
      <xdr:row>70</xdr:row>
      <xdr:rowOff>29705</xdr:rowOff>
    </xdr:from>
    <xdr:to>
      <xdr:col>12</xdr:col>
      <xdr:colOff>451720</xdr:colOff>
      <xdr:row>73</xdr:row>
      <xdr:rowOff>177754</xdr:rowOff>
    </xdr:to>
    <xdr:pic>
      <xdr:nvPicPr>
        <xdr:cNvPr id="156" name="Imagem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97950" y="14411064"/>
          <a:ext cx="1797775" cy="773779"/>
        </a:xfrm>
        <a:prstGeom prst="rect">
          <a:avLst/>
        </a:prstGeom>
      </xdr:spPr>
    </xdr:pic>
    <xdr:clientData/>
  </xdr:twoCellAnchor>
  <xdr:twoCellAnchor editAs="oneCell">
    <xdr:from>
      <xdr:col>10</xdr:col>
      <xdr:colOff>423370</xdr:colOff>
      <xdr:row>75</xdr:row>
      <xdr:rowOff>186079</xdr:rowOff>
    </xdr:from>
    <xdr:to>
      <xdr:col>12</xdr:col>
      <xdr:colOff>451720</xdr:colOff>
      <xdr:row>79</xdr:row>
      <xdr:rowOff>64556</xdr:rowOff>
    </xdr:to>
    <xdr:pic>
      <xdr:nvPicPr>
        <xdr:cNvPr id="159" name="Imagem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04663" y="15721682"/>
          <a:ext cx="1801971" cy="719305"/>
        </a:xfrm>
        <a:prstGeom prst="rect">
          <a:avLst/>
        </a:prstGeom>
      </xdr:spPr>
    </xdr:pic>
    <xdr:clientData/>
  </xdr:twoCellAnchor>
  <xdr:twoCellAnchor editAs="oneCell">
    <xdr:from>
      <xdr:col>10</xdr:col>
      <xdr:colOff>423370</xdr:colOff>
      <xdr:row>81</xdr:row>
      <xdr:rowOff>55054</xdr:rowOff>
    </xdr:from>
    <xdr:to>
      <xdr:col>12</xdr:col>
      <xdr:colOff>451720</xdr:colOff>
      <xdr:row>82</xdr:row>
      <xdr:rowOff>203024</xdr:rowOff>
    </xdr:to>
    <xdr:pic>
      <xdr:nvPicPr>
        <xdr:cNvPr id="161" name="Imagem 16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05320" y="16803814"/>
          <a:ext cx="1803810" cy="357520"/>
        </a:xfrm>
        <a:prstGeom prst="rect">
          <a:avLst/>
        </a:prstGeom>
      </xdr:spPr>
    </xdr:pic>
    <xdr:clientData/>
  </xdr:twoCellAnchor>
  <xdr:twoCellAnchor>
    <xdr:from>
      <xdr:col>2</xdr:col>
      <xdr:colOff>185222</xdr:colOff>
      <xdr:row>27</xdr:row>
      <xdr:rowOff>168246</xdr:rowOff>
    </xdr:from>
    <xdr:to>
      <xdr:col>2</xdr:col>
      <xdr:colOff>670819</xdr:colOff>
      <xdr:row>28</xdr:row>
      <xdr:rowOff>158681</xdr:rowOff>
    </xdr:to>
    <xdr:sp macro="" textlink="$D$25">
      <xdr:nvSpPr>
        <xdr:cNvPr id="7" name="Retângul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758208" y="5660089"/>
          <a:ext cx="485597" cy="2027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8099598F-67E7-452C-BD93-D1E638993257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0,1171 kN/m</a:t>
          </a:fld>
          <a:endParaRPr lang="pt-BR" sz="8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</xdr:col>
      <xdr:colOff>177908</xdr:colOff>
      <xdr:row>31</xdr:row>
      <xdr:rowOff>14110</xdr:rowOff>
    </xdr:from>
    <xdr:to>
      <xdr:col>2</xdr:col>
      <xdr:colOff>678133</xdr:colOff>
      <xdr:row>32</xdr:row>
      <xdr:rowOff>7052</xdr:rowOff>
    </xdr:to>
    <xdr:sp macro="" textlink="DSB!F29">
      <xdr:nvSpPr>
        <xdr:cNvPr id="8" name="Retângul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750894" y="6355039"/>
          <a:ext cx="500225" cy="20521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0E144302-6C42-4032-AE8F-DFED8A7C2185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0,70 m</a:t>
          </a:fld>
          <a:endParaRPr lang="pt-BR" sz="8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</xdr:col>
      <xdr:colOff>212942</xdr:colOff>
      <xdr:row>33</xdr:row>
      <xdr:rowOff>27933</xdr:rowOff>
    </xdr:from>
    <xdr:to>
      <xdr:col>3</xdr:col>
      <xdr:colOff>748484</xdr:colOff>
      <xdr:row>38</xdr:row>
      <xdr:rowOff>182433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pSpPr/>
      </xdr:nvGrpSpPr>
      <xdr:grpSpPr>
        <a:xfrm>
          <a:off x="1104482" y="6977373"/>
          <a:ext cx="2234802" cy="1221300"/>
          <a:chOff x="621090" y="8311881"/>
          <a:chExt cx="3376689" cy="1794239"/>
        </a:xfrm>
      </xdr:grpSpPr>
      <xdr:sp macro="" textlink="AXB!J76">
        <xdr:nvSpPr>
          <xdr:cNvPr id="12" name="Retângulo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/>
        </xdr:nvSpPr>
        <xdr:spPr>
          <a:xfrm>
            <a:off x="3193879" y="9758716"/>
            <a:ext cx="803900" cy="34740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A7CBC145-3BF4-4D32-A820-EA08A0F32E55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0,0410</a:t>
            </a:fld>
            <a:endParaRPr lang="pt-BR" sz="8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J76">
        <xdr:nvSpPr>
          <xdr:cNvPr id="13" name="Retângulo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/>
        </xdr:nvSpPr>
        <xdr:spPr>
          <a:xfrm>
            <a:off x="621090" y="8311881"/>
            <a:ext cx="869809" cy="28499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A7CBC145-3BF4-4D32-A820-EA08A0F32E55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0,0410</a:t>
            </a:fld>
            <a:endParaRPr lang="pt-BR" sz="8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125185</xdr:rowOff>
    </xdr:from>
    <xdr:to>
      <xdr:col>1</xdr:col>
      <xdr:colOff>0</xdr:colOff>
      <xdr:row>59</xdr:row>
      <xdr:rowOff>146956</xdr:rowOff>
    </xdr:to>
    <xdr:sp macro="" textlink="AXB!J76">
      <xdr:nvSpPr>
        <xdr:cNvPr id="14" name="Retângul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714375" y="11250385"/>
          <a:ext cx="0" cy="2122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A7CBC145-3BF4-4D32-A820-EA08A0F32E55}" type="TxLink">
            <a:rPr lang="en-US" sz="1100" b="0" i="0" u="none" strike="noStrike">
              <a:solidFill>
                <a:srgbClr val="136FAD"/>
              </a:solidFill>
              <a:latin typeface="Calibri"/>
              <a:cs typeface="Calibri"/>
            </a:rPr>
            <a:pPr algn="l"/>
            <a:t>0,0410</a:t>
          </a:fld>
          <a:endParaRPr lang="pt-BR" sz="1100">
            <a:solidFill>
              <a:srgbClr val="136FAD"/>
            </a:solidFill>
          </a:endParaRPr>
        </a:p>
      </xdr:txBody>
    </xdr:sp>
    <xdr:clientData/>
  </xdr:twoCellAnchor>
  <xdr:twoCellAnchor>
    <xdr:from>
      <xdr:col>2</xdr:col>
      <xdr:colOff>192301</xdr:colOff>
      <xdr:row>41</xdr:row>
      <xdr:rowOff>52219</xdr:rowOff>
    </xdr:from>
    <xdr:to>
      <xdr:col>3</xdr:col>
      <xdr:colOff>14388</xdr:colOff>
      <xdr:row>42</xdr:row>
      <xdr:rowOff>46845</xdr:rowOff>
    </xdr:to>
    <xdr:sp macro="" textlink="AXB!H81">
      <xdr:nvSpPr>
        <xdr:cNvPr id="17" name="Retângul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1765287" y="8515862"/>
          <a:ext cx="611301" cy="2068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5B6F30EC-9D57-4D0A-A0D4-7C6A0D4B9BB6}" type="TxLink">
            <a:rPr lang="en-US" sz="8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0,0072</a:t>
          </a:fld>
          <a:endParaRPr lang="pt-BR" sz="800">
            <a:solidFill>
              <a:schemeClr val="accent4">
                <a:lumMod val="60000"/>
                <a:lumOff val="40000"/>
              </a:schemeClr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6</xdr:col>
      <xdr:colOff>77831</xdr:colOff>
      <xdr:row>37</xdr:row>
      <xdr:rowOff>153717</xdr:rowOff>
    </xdr:from>
    <xdr:to>
      <xdr:col>6</xdr:col>
      <xdr:colOff>699204</xdr:colOff>
      <xdr:row>38</xdr:row>
      <xdr:rowOff>177233</xdr:rowOff>
    </xdr:to>
    <xdr:sp macro="" textlink="AXB!N76">
      <xdr:nvSpPr>
        <xdr:cNvPr id="21" name="Retângulo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5101588" y="7768274"/>
          <a:ext cx="621373" cy="23578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B9A23924-3ED9-4838-A739-91B759007608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0,1359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4</xdr:col>
      <xdr:colOff>193313</xdr:colOff>
      <xdr:row>33</xdr:row>
      <xdr:rowOff>34061</xdr:rowOff>
    </xdr:from>
    <xdr:to>
      <xdr:col>5</xdr:col>
      <xdr:colOff>214</xdr:colOff>
      <xdr:row>34</xdr:row>
      <xdr:rowOff>15218</xdr:rowOff>
    </xdr:to>
    <xdr:sp macro="" textlink="AXB!N76">
      <xdr:nvSpPr>
        <xdr:cNvPr id="22" name="Retângulo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3415484" y="6799532"/>
          <a:ext cx="672316" cy="1934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AFA05D9C-C7B3-4592-8A34-248DF48363BB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0,1359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210643</xdr:colOff>
      <xdr:row>41</xdr:row>
      <xdr:rowOff>52267</xdr:rowOff>
    </xdr:from>
    <xdr:to>
      <xdr:col>6</xdr:col>
      <xdr:colOff>25309</xdr:colOff>
      <xdr:row>42</xdr:row>
      <xdr:rowOff>46797</xdr:rowOff>
    </xdr:to>
    <xdr:sp macro="" textlink="AXB!L81">
      <xdr:nvSpPr>
        <xdr:cNvPr id="25" name="Retângulo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4298229" y="8515910"/>
          <a:ext cx="750837" cy="2068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F63DDE76-00BD-4B26-B017-BF5FA9D7ABB5}" type="TxLink">
            <a:rPr lang="en-US" sz="800" b="0" i="0" u="none" strike="noStrike">
              <a:solidFill>
                <a:srgbClr val="FFD9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0,0238</a:t>
          </a:fld>
          <a:endParaRPr lang="pt-BR" sz="400">
            <a:solidFill>
              <a:srgbClr val="FFD966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12565</xdr:colOff>
      <xdr:row>82</xdr:row>
      <xdr:rowOff>200496</xdr:rowOff>
    </xdr:from>
    <xdr:to>
      <xdr:col>5</xdr:col>
      <xdr:colOff>742593</xdr:colOff>
      <xdr:row>83</xdr:row>
      <xdr:rowOff>195756</xdr:rowOff>
    </xdr:to>
    <xdr:sp macro="" textlink="AXB!V81">
      <xdr:nvSpPr>
        <xdr:cNvPr id="26" name="Retângulo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4104505" y="17158806"/>
          <a:ext cx="730028" cy="2048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F3BDC918-271C-4661-9FC6-A6EFDDE36B63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0,2200</a:t>
          </a:fld>
          <a:endParaRPr lang="pt-BR" sz="4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3</xdr:col>
      <xdr:colOff>32492</xdr:colOff>
      <xdr:row>75</xdr:row>
      <xdr:rowOff>14623</xdr:rowOff>
    </xdr:from>
    <xdr:to>
      <xdr:col>3</xdr:col>
      <xdr:colOff>605400</xdr:colOff>
      <xdr:row>76</xdr:row>
      <xdr:rowOff>5958</xdr:rowOff>
    </xdr:to>
    <xdr:sp macro="" textlink="AXB!R72">
      <xdr:nvSpPr>
        <xdr:cNvPr id="29" name="Retângulo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2396361" y="15438866"/>
          <a:ext cx="572908" cy="1999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3E62EB9-160F-4A37-BD91-C51AECB6E19E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0,3447</a:t>
          </a:fld>
          <a:endParaRPr lang="pt-BR" sz="1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11</xdr:col>
      <xdr:colOff>166670</xdr:colOff>
      <xdr:row>83</xdr:row>
      <xdr:rowOff>24194</xdr:rowOff>
    </xdr:from>
    <xdr:to>
      <xdr:col>11</xdr:col>
      <xdr:colOff>746520</xdr:colOff>
      <xdr:row>84</xdr:row>
      <xdr:rowOff>18232</xdr:rowOff>
    </xdr:to>
    <xdr:sp macro="" textlink="AXB!V97">
      <xdr:nvSpPr>
        <xdr:cNvPr id="32" name="Retângulo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9017300" y="17192054"/>
          <a:ext cx="579850" cy="20358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E4A314B2-27E3-486C-A595-2C5EF9E72ADB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0,5174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</xdr:col>
      <xdr:colOff>282841</xdr:colOff>
      <xdr:row>114</xdr:row>
      <xdr:rowOff>176354</xdr:rowOff>
    </xdr:from>
    <xdr:to>
      <xdr:col>2</xdr:col>
      <xdr:colOff>776224</xdr:colOff>
      <xdr:row>118</xdr:row>
      <xdr:rowOff>208940</xdr:rowOff>
    </xdr:to>
    <xdr:grpSp>
      <xdr:nvGrpSpPr>
        <xdr:cNvPr id="35" name="Agrupar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pSpPr/>
      </xdr:nvGrpSpPr>
      <xdr:grpSpPr>
        <a:xfrm>
          <a:off x="2058301" y="24423194"/>
          <a:ext cx="493383" cy="886026"/>
          <a:chOff x="1914025" y="6747695"/>
          <a:chExt cx="771936" cy="1285965"/>
        </a:xfrm>
      </xdr:grpSpPr>
      <xdr:sp macro="" textlink="$D$112">
        <xdr:nvSpPr>
          <xdr:cNvPr id="36" name="Retângulo 3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SpPr/>
        </xdr:nvSpPr>
        <xdr:spPr>
          <a:xfrm>
            <a:off x="1925312" y="6747695"/>
            <a:ext cx="749362" cy="29689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31ED874C-92A9-425D-905A-E2045F40AA05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ctr"/>
              <a:t>0,5244 kN/m</a:t>
            </a:fld>
            <a:endParaRPr lang="pt-BR" sz="6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DSB!C36">
        <xdr:nvSpPr>
          <xdr:cNvPr id="37" name="Retângulo 36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SpPr/>
        </xdr:nvSpPr>
        <xdr:spPr>
          <a:xfrm>
            <a:off x="1914025" y="7733092"/>
            <a:ext cx="771936" cy="30056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470C1669-CC06-4EF7-AE1E-8D04201FD15A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ctr"/>
              <a:t>2,50 m</a:t>
            </a:fld>
            <a:endParaRPr lang="pt-BR" sz="4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</xdr:col>
      <xdr:colOff>432157</xdr:colOff>
      <xdr:row>120</xdr:row>
      <xdr:rowOff>49445</xdr:rowOff>
    </xdr:from>
    <xdr:to>
      <xdr:col>3</xdr:col>
      <xdr:colOff>758515</xdr:colOff>
      <xdr:row>125</xdr:row>
      <xdr:rowOff>169305</xdr:rowOff>
    </xdr:to>
    <xdr:grpSp>
      <xdr:nvGrpSpPr>
        <xdr:cNvPr id="40" name="Agrupar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GrpSpPr/>
      </xdr:nvGrpSpPr>
      <xdr:grpSpPr>
        <a:xfrm>
          <a:off x="1323697" y="25576445"/>
          <a:ext cx="2025618" cy="1186660"/>
          <a:chOff x="702278" y="8331418"/>
          <a:chExt cx="3054631" cy="1743820"/>
        </a:xfrm>
      </xdr:grpSpPr>
      <xdr:sp macro="" textlink="AXB!AG76">
        <xdr:nvSpPr>
          <xdr:cNvPr id="41" name="Retângulo 40">
            <a:extLst>
              <a:ext uri="{FF2B5EF4-FFF2-40B4-BE49-F238E27FC236}">
                <a16:creationId xmlns:a16="http://schemas.microsoft.com/office/drawing/2014/main" id="{00000000-0008-0000-0400-000029000000}"/>
              </a:ext>
            </a:extLst>
          </xdr:cNvPr>
          <xdr:cNvSpPr/>
        </xdr:nvSpPr>
        <xdr:spPr>
          <a:xfrm>
            <a:off x="2953010" y="9727835"/>
            <a:ext cx="803899" cy="34740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511BC40D-FB45-46B2-839B-CBA2806C5ADB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0,6555</a:t>
            </a:fld>
            <a:endParaRPr lang="pt-BR" sz="4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G76">
        <xdr:nvSpPr>
          <xdr:cNvPr id="42" name="Retângulo 41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SpPr/>
        </xdr:nvSpPr>
        <xdr:spPr>
          <a:xfrm>
            <a:off x="702278" y="8331418"/>
            <a:ext cx="869811" cy="28499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E147BD82-DEF7-4ACE-890E-B46EF15C06CD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0,6555</a:t>
            </a:fld>
            <a:endParaRPr lang="pt-BR" sz="4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2</xdr:col>
      <xdr:colOff>225858</xdr:colOff>
      <xdr:row>128</xdr:row>
      <xdr:rowOff>75971</xdr:rowOff>
    </xdr:from>
    <xdr:to>
      <xdr:col>3</xdr:col>
      <xdr:colOff>43475</xdr:colOff>
      <xdr:row>129</xdr:row>
      <xdr:rowOff>70441</xdr:rowOff>
    </xdr:to>
    <xdr:sp macro="" textlink="AXB!AE81">
      <xdr:nvSpPr>
        <xdr:cNvPr id="45" name="Retângulo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1796277" y="26824341"/>
          <a:ext cx="607348" cy="205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CDBD39D5-F39D-4C90-A080-1A7E160B2FA3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0,4097</a:t>
          </a:fld>
          <a:endParaRPr lang="pt-BR" sz="100" strike="noStrike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111340</xdr:colOff>
      <xdr:row>114</xdr:row>
      <xdr:rowOff>129674</xdr:rowOff>
    </xdr:from>
    <xdr:to>
      <xdr:col>5</xdr:col>
      <xdr:colOff>709779</xdr:colOff>
      <xdr:row>119</xdr:row>
      <xdr:rowOff>26961</xdr:rowOff>
    </xdr:to>
    <xdr:grpSp>
      <xdr:nvGrpSpPr>
        <xdr:cNvPr id="48" name="Agrupar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GrpSpPr/>
      </xdr:nvGrpSpPr>
      <xdr:grpSpPr>
        <a:xfrm>
          <a:off x="4477600" y="24376514"/>
          <a:ext cx="598439" cy="964087"/>
          <a:chOff x="1914025" y="6743265"/>
          <a:chExt cx="771936" cy="1396483"/>
        </a:xfrm>
      </xdr:grpSpPr>
      <xdr:sp macro="" textlink="$F$112">
        <xdr:nvSpPr>
          <xdr:cNvPr id="49" name="Retângulo 48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SpPr/>
        </xdr:nvSpPr>
        <xdr:spPr>
          <a:xfrm>
            <a:off x="1925310" y="6743265"/>
            <a:ext cx="749362" cy="29689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C5305C8F-4DD9-439E-B799-44A3EAC67A16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ctr"/>
              <a:t>1,7383 kN/m</a:t>
            </a:fld>
            <a:endParaRPr lang="pt-BR" sz="2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DSB!C36">
        <xdr:nvSpPr>
          <xdr:cNvPr id="50" name="Retângulo 4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/>
        </xdr:nvSpPr>
        <xdr:spPr>
          <a:xfrm>
            <a:off x="1914025" y="7839180"/>
            <a:ext cx="771936" cy="30056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7759D91D-D0BA-45D7-8812-EBB649BF1116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ctr"/>
              <a:t>2,50 m</a:t>
            </a:fld>
            <a:endParaRPr lang="pt-BR" sz="4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4</xdr:col>
      <xdr:colOff>172716</xdr:colOff>
      <xdr:row>120</xdr:row>
      <xdr:rowOff>56703</xdr:rowOff>
    </xdr:from>
    <xdr:to>
      <xdr:col>6</xdr:col>
      <xdr:colOff>650302</xdr:colOff>
      <xdr:row>125</xdr:row>
      <xdr:rowOff>170533</xdr:rowOff>
    </xdr:to>
    <xdr:grpSp>
      <xdr:nvGrpSpPr>
        <xdr:cNvPr id="53" name="Agrupar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GrpSpPr/>
      </xdr:nvGrpSpPr>
      <xdr:grpSpPr>
        <a:xfrm>
          <a:off x="3647436" y="25583703"/>
          <a:ext cx="2329246" cy="1180630"/>
          <a:chOff x="974363" y="8349314"/>
          <a:chExt cx="3026636" cy="1734871"/>
        </a:xfrm>
      </xdr:grpSpPr>
      <xdr:sp macro="" textlink="AXB!AL76">
        <xdr:nvSpPr>
          <xdr:cNvPr id="54" name="Retângulo 53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SpPr/>
        </xdr:nvSpPr>
        <xdr:spPr>
          <a:xfrm>
            <a:off x="3197099" y="9736782"/>
            <a:ext cx="803900" cy="34740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9992BE37-E92C-4F42-8D9A-9901121CA6DB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2,1728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L76">
        <xdr:nvSpPr>
          <xdr:cNvPr id="55" name="Retângulo 54">
            <a:extLst>
              <a:ext uri="{FF2B5EF4-FFF2-40B4-BE49-F238E27FC236}">
                <a16:creationId xmlns:a16="http://schemas.microsoft.com/office/drawing/2014/main" id="{00000000-0008-0000-0400-000037000000}"/>
              </a:ext>
            </a:extLst>
          </xdr:cNvPr>
          <xdr:cNvSpPr/>
        </xdr:nvSpPr>
        <xdr:spPr>
          <a:xfrm>
            <a:off x="974363" y="8349314"/>
            <a:ext cx="869811" cy="28499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1B32F2EC-7938-4607-9BEB-15854B0D7783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2,1728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5</xdr:col>
      <xdr:colOff>35602</xdr:colOff>
      <xdr:row>128</xdr:row>
      <xdr:rowOff>70594</xdr:rowOff>
    </xdr:from>
    <xdr:to>
      <xdr:col>5</xdr:col>
      <xdr:colOff>768393</xdr:colOff>
      <xdr:row>129</xdr:row>
      <xdr:rowOff>65064</xdr:rowOff>
    </xdr:to>
    <xdr:sp macro="" textlink="AXB!AJ81">
      <xdr:nvSpPr>
        <xdr:cNvPr id="58" name="Retângulo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4119898" y="26818964"/>
          <a:ext cx="732791" cy="205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0EAF6326-6BA1-4DFB-8395-DE2A5F83A979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1,3580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7</xdr:col>
      <xdr:colOff>197877</xdr:colOff>
      <xdr:row>114</xdr:row>
      <xdr:rowOff>103298</xdr:rowOff>
    </xdr:from>
    <xdr:to>
      <xdr:col>9</xdr:col>
      <xdr:colOff>117342</xdr:colOff>
      <xdr:row>118</xdr:row>
      <xdr:rowOff>181572</xdr:rowOff>
    </xdr:to>
    <xdr:grpSp>
      <xdr:nvGrpSpPr>
        <xdr:cNvPr id="61" name="Agrupar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GrpSpPr/>
      </xdr:nvGrpSpPr>
      <xdr:grpSpPr>
        <a:xfrm>
          <a:off x="6271017" y="24350138"/>
          <a:ext cx="1260585" cy="931714"/>
          <a:chOff x="4584879" y="5273528"/>
          <a:chExt cx="1223775" cy="822852"/>
        </a:xfrm>
      </xdr:grpSpPr>
      <xdr:sp macro="" textlink="DSB!C36">
        <xdr:nvSpPr>
          <xdr:cNvPr id="62" name="Retângulo 61">
            <a:extLst>
              <a:ext uri="{FF2B5EF4-FFF2-40B4-BE49-F238E27FC236}">
                <a16:creationId xmlns:a16="http://schemas.microsoft.com/office/drawing/2014/main" id="{00000000-0008-0000-0400-00003E000000}"/>
              </a:ext>
            </a:extLst>
          </xdr:cNvPr>
          <xdr:cNvSpPr/>
        </xdr:nvSpPr>
        <xdr:spPr>
          <a:xfrm>
            <a:off x="5248537" y="5913042"/>
            <a:ext cx="497746" cy="1833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A830FD65-52E1-437F-B2CF-71D88FA2241B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2,50 m</a:t>
            </a:fld>
            <a:endParaRPr lang="pt-BR" sz="4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$J$108">
        <xdr:nvSpPr>
          <xdr:cNvPr id="63" name="Retângulo 62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/>
        </xdr:nvSpPr>
        <xdr:spPr>
          <a:xfrm>
            <a:off x="4584879" y="5446978"/>
            <a:ext cx="595203" cy="1810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75FD640C-8FD5-4707-803B-00CC42B2BE9B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0,3647 kN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$J$105">
        <xdr:nvSpPr>
          <xdr:cNvPr id="64" name="Retângulo 63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/>
        </xdr:nvSpPr>
        <xdr:spPr>
          <a:xfrm>
            <a:off x="5251400" y="5273528"/>
            <a:ext cx="557254" cy="1810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64DAD790-FBAB-411C-9643-FD9CAFF48A6C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0,2888 kN</a:t>
            </a:fld>
            <a:endParaRPr lang="pt-BR" sz="1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8</xdr:col>
      <xdr:colOff>210330</xdr:colOff>
      <xdr:row>128</xdr:row>
      <xdr:rowOff>72840</xdr:rowOff>
    </xdr:from>
    <xdr:to>
      <xdr:col>9</xdr:col>
      <xdr:colOff>105202</xdr:colOff>
      <xdr:row>129</xdr:row>
      <xdr:rowOff>66792</xdr:rowOff>
    </xdr:to>
    <xdr:sp macro="" textlink="AXB!AE96">
      <xdr:nvSpPr>
        <xdr:cNvPr id="67" name="Retângulo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>
        <a:xfrm>
          <a:off x="6720175" y="26939909"/>
          <a:ext cx="591182" cy="2041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29E5D4D8-080A-4CAD-9E4E-840F9AC28006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0,4654</a:t>
          </a:fld>
          <a:endParaRPr lang="pt-BR" sz="8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7</xdr:col>
      <xdr:colOff>9279</xdr:colOff>
      <xdr:row>120</xdr:row>
      <xdr:rowOff>35462</xdr:rowOff>
    </xdr:from>
    <xdr:to>
      <xdr:col>10</xdr:col>
      <xdr:colOff>325581</xdr:colOff>
      <xdr:row>125</xdr:row>
      <xdr:rowOff>178279</xdr:rowOff>
    </xdr:to>
    <xdr:grpSp>
      <xdr:nvGrpSpPr>
        <xdr:cNvPr id="70" name="Agrupar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GrpSpPr/>
      </xdr:nvGrpSpPr>
      <xdr:grpSpPr>
        <a:xfrm>
          <a:off x="6082419" y="25562462"/>
          <a:ext cx="2609922" cy="1209617"/>
          <a:chOff x="4454929" y="6346884"/>
          <a:chExt cx="2483931" cy="1084262"/>
        </a:xfrm>
      </xdr:grpSpPr>
      <xdr:sp macro="" textlink="AXB!AG91">
        <xdr:nvSpPr>
          <xdr:cNvPr id="71" name="Retângulo 70">
            <a:extLst>
              <a:ext uri="{FF2B5EF4-FFF2-40B4-BE49-F238E27FC236}">
                <a16:creationId xmlns:a16="http://schemas.microsoft.com/office/drawing/2014/main" id="{00000000-0008-0000-0400-000047000000}"/>
              </a:ext>
            </a:extLst>
          </xdr:cNvPr>
          <xdr:cNvSpPr/>
        </xdr:nvSpPr>
        <xdr:spPr>
          <a:xfrm>
            <a:off x="6107430" y="7219240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DC260015-0FED-4420-864E-C3F3CDC760B9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0,6003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G91">
        <xdr:nvSpPr>
          <xdr:cNvPr id="72" name="Retângulo 71">
            <a:extLst>
              <a:ext uri="{FF2B5EF4-FFF2-40B4-BE49-F238E27FC236}">
                <a16:creationId xmlns:a16="http://schemas.microsoft.com/office/drawing/2014/main" id="{00000000-0008-0000-0400-000048000000}"/>
              </a:ext>
            </a:extLst>
          </xdr:cNvPr>
          <xdr:cNvSpPr/>
        </xdr:nvSpPr>
        <xdr:spPr>
          <a:xfrm>
            <a:off x="4454929" y="6346884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3A1C4974-ED89-45BB-A39D-59CD2F218D68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0,6003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E91">
        <xdr:nvSpPr>
          <xdr:cNvPr id="73" name="Retângulo 72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/>
        </xdr:nvSpPr>
        <xdr:spPr>
          <a:xfrm>
            <a:off x="5343250" y="6509760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F2165884-4903-4B67-9A9B-8F567A4409A2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0,1444</a:t>
            </a:fld>
            <a:endParaRPr lang="en-US" sz="4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10</xdr:col>
      <xdr:colOff>255156</xdr:colOff>
      <xdr:row>114</xdr:row>
      <xdr:rowOff>123808</xdr:rowOff>
    </xdr:from>
    <xdr:to>
      <xdr:col>11</xdr:col>
      <xdr:colOff>628208</xdr:colOff>
      <xdr:row>118</xdr:row>
      <xdr:rowOff>186701</xdr:rowOff>
    </xdr:to>
    <xdr:grpSp>
      <xdr:nvGrpSpPr>
        <xdr:cNvPr id="76" name="Agrupar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GrpSpPr/>
      </xdr:nvGrpSpPr>
      <xdr:grpSpPr>
        <a:xfrm>
          <a:off x="8621916" y="24370648"/>
          <a:ext cx="1264592" cy="916333"/>
          <a:chOff x="4645483" y="5295597"/>
          <a:chExt cx="1232480" cy="806182"/>
        </a:xfrm>
      </xdr:grpSpPr>
      <xdr:sp macro="" textlink="DSB!C36">
        <xdr:nvSpPr>
          <xdr:cNvPr id="77" name="Retângulo 76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SpPr/>
        </xdr:nvSpPr>
        <xdr:spPr>
          <a:xfrm>
            <a:off x="5350362" y="5918441"/>
            <a:ext cx="497746" cy="1833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305447A0-7709-4DD9-9BAF-9A4EDA92A897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2,50 m</a:t>
            </a:fld>
            <a:endParaRPr lang="pt-BR" sz="4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$L$108">
        <xdr:nvSpPr>
          <xdr:cNvPr id="78" name="Retângulo 77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SpPr/>
        </xdr:nvSpPr>
        <xdr:spPr>
          <a:xfrm>
            <a:off x="4645483" y="5452548"/>
            <a:ext cx="595203" cy="1810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44E2C6B2-205B-42DF-BD4E-0FC47BA0A02F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1,2087 kN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$L$105">
        <xdr:nvSpPr>
          <xdr:cNvPr id="79" name="Retângulo 78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SpPr/>
        </xdr:nvSpPr>
        <xdr:spPr>
          <a:xfrm>
            <a:off x="5320709" y="5295597"/>
            <a:ext cx="557254" cy="1810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49B890F0-FB39-4E76-BA5A-5981E6A2CA9E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0,9574 kN</a:t>
            </a:fld>
            <a:endParaRPr lang="pt-BR" sz="1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11</xdr:col>
      <xdr:colOff>73986</xdr:colOff>
      <xdr:row>128</xdr:row>
      <xdr:rowOff>69002</xdr:rowOff>
    </xdr:from>
    <xdr:to>
      <xdr:col>11</xdr:col>
      <xdr:colOff>650308</xdr:colOff>
      <xdr:row>129</xdr:row>
      <xdr:rowOff>66792</xdr:rowOff>
    </xdr:to>
    <xdr:sp macro="" textlink="AXB!AJ96">
      <xdr:nvSpPr>
        <xdr:cNvPr id="82" name="Retângulo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9073469" y="26936071"/>
          <a:ext cx="576322" cy="2079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150AD111-B7EC-4399-A97F-1A6F2C96CD0F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1,5427</a:t>
          </a:fld>
          <a:endParaRPr lang="pt-BR" sz="8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9</xdr:col>
      <xdr:colOff>907767</xdr:colOff>
      <xdr:row>119</xdr:row>
      <xdr:rowOff>148769</xdr:rowOff>
    </xdr:from>
    <xdr:to>
      <xdr:col>13</xdr:col>
      <xdr:colOff>136953</xdr:colOff>
      <xdr:row>125</xdr:row>
      <xdr:rowOff>77783</xdr:rowOff>
    </xdr:to>
    <xdr:grpSp>
      <xdr:nvGrpSpPr>
        <xdr:cNvPr id="85" name="Agrupar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GrpSpPr/>
      </xdr:nvGrpSpPr>
      <xdr:grpSpPr>
        <a:xfrm>
          <a:off x="8322027" y="25462409"/>
          <a:ext cx="2848686" cy="1209174"/>
          <a:chOff x="4365791" y="6260015"/>
          <a:chExt cx="2534952" cy="1082503"/>
        </a:xfrm>
      </xdr:grpSpPr>
      <xdr:sp macro="" textlink="AXB!AL91">
        <xdr:nvSpPr>
          <xdr:cNvPr id="86" name="Retângulo 85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/>
        </xdr:nvSpPr>
        <xdr:spPr>
          <a:xfrm>
            <a:off x="6069313" y="7130612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EA20FD5E-29DC-4F56-A4A2-C5D0889972C2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1,9896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L91">
        <xdr:nvSpPr>
          <xdr:cNvPr id="87" name="Retângulo 86">
            <a:extLst>
              <a:ext uri="{FF2B5EF4-FFF2-40B4-BE49-F238E27FC236}">
                <a16:creationId xmlns:a16="http://schemas.microsoft.com/office/drawing/2014/main" id="{00000000-0008-0000-0400-000057000000}"/>
              </a:ext>
            </a:extLst>
          </xdr:cNvPr>
          <xdr:cNvSpPr/>
        </xdr:nvSpPr>
        <xdr:spPr>
          <a:xfrm>
            <a:off x="4365791" y="6260015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C0BD9955-A614-4A28-AED2-5D902BB7EBC7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1,9896</a:t>
            </a:fld>
            <a:endParaRPr lang="pt-BR" sz="10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J91">
        <xdr:nvSpPr>
          <xdr:cNvPr id="88" name="Retângulo 87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SpPr/>
        </xdr:nvSpPr>
        <xdr:spPr>
          <a:xfrm>
            <a:off x="5328834" y="6491372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1D044424-1C2E-4DE3-85B8-6B2A2D9E124A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0,4787</a:t>
            </a:fld>
            <a:endParaRPr lang="en-US" sz="1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10</xdr:col>
      <xdr:colOff>339224</xdr:colOff>
      <xdr:row>166</xdr:row>
      <xdr:rowOff>53042</xdr:rowOff>
    </xdr:from>
    <xdr:to>
      <xdr:col>11</xdr:col>
      <xdr:colOff>13537</xdr:colOff>
      <xdr:row>167</xdr:row>
      <xdr:rowOff>68184</xdr:rowOff>
    </xdr:to>
    <xdr:sp macro="" textlink="AXB!H114">
      <xdr:nvSpPr>
        <xdr:cNvPr id="89" name="Retângulo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/>
      </xdr:nvSpPr>
      <xdr:spPr>
        <a:xfrm>
          <a:off x="8197349" y="33009542"/>
          <a:ext cx="531563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5583DA2A-AC7B-4A9D-A78B-F2DF1C12C71B}" type="TxLink">
            <a:rPr lang="en-US" sz="800" b="0" i="0" u="none" strike="noStrike">
              <a:solidFill>
                <a:srgbClr val="136FAD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136FAD"/>
            </a:solidFill>
          </a:endParaRPr>
        </a:p>
      </xdr:txBody>
    </xdr:sp>
    <xdr:clientData/>
  </xdr:twoCellAnchor>
  <xdr:twoCellAnchor>
    <xdr:from>
      <xdr:col>10</xdr:col>
      <xdr:colOff>549745</xdr:colOff>
      <xdr:row>159</xdr:row>
      <xdr:rowOff>29868</xdr:rowOff>
    </xdr:from>
    <xdr:to>
      <xdr:col>11</xdr:col>
      <xdr:colOff>224058</xdr:colOff>
      <xdr:row>160</xdr:row>
      <xdr:rowOff>45010</xdr:rowOff>
    </xdr:to>
    <xdr:sp macro="" textlink="AXB!I106">
      <xdr:nvSpPr>
        <xdr:cNvPr id="90" name="Retângulo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/>
      </xdr:nvSpPr>
      <xdr:spPr>
        <a:xfrm rot="19729493">
          <a:off x="8407870" y="31652868"/>
          <a:ext cx="531563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B9E698A3-04D5-4F77-8F01-C794DE1697BF}" type="TxLink">
            <a:rPr lang="en-US" sz="800" b="0" i="0" u="none" strike="noStrike">
              <a:solidFill>
                <a:srgbClr val="815301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815301"/>
            </a:solidFill>
          </a:endParaRPr>
        </a:p>
      </xdr:txBody>
    </xdr:sp>
    <xdr:clientData/>
  </xdr:twoCellAnchor>
  <xdr:twoCellAnchor>
    <xdr:from>
      <xdr:col>10</xdr:col>
      <xdr:colOff>488138</xdr:colOff>
      <xdr:row>163</xdr:row>
      <xdr:rowOff>73641</xdr:rowOff>
    </xdr:from>
    <xdr:to>
      <xdr:col>11</xdr:col>
      <xdr:colOff>162451</xdr:colOff>
      <xdr:row>164</xdr:row>
      <xdr:rowOff>88783</xdr:rowOff>
    </xdr:to>
    <xdr:sp macro="" textlink="AXB!I111">
      <xdr:nvSpPr>
        <xdr:cNvPr id="91" name="Retângulo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>
        <a:xfrm rot="1870507" flipH="1">
          <a:off x="8346263" y="32458641"/>
          <a:ext cx="531563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1743DCD9-EBF4-45D1-A081-A3C0928738A4}" type="TxLink">
            <a:rPr lang="en-US" sz="800" b="0" i="0" u="none" strike="noStrike">
              <a:solidFill>
                <a:srgbClr val="815301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815301"/>
            </a:solidFill>
          </a:endParaRPr>
        </a:p>
      </xdr:txBody>
    </xdr:sp>
    <xdr:clientData/>
  </xdr:twoCellAnchor>
  <xdr:twoCellAnchor>
    <xdr:from>
      <xdr:col>11</xdr:col>
      <xdr:colOff>278537</xdr:colOff>
      <xdr:row>160</xdr:row>
      <xdr:rowOff>102036</xdr:rowOff>
    </xdr:from>
    <xdr:to>
      <xdr:col>11</xdr:col>
      <xdr:colOff>484179</xdr:colOff>
      <xdr:row>163</xdr:row>
      <xdr:rowOff>64126</xdr:rowOff>
    </xdr:to>
    <xdr:sp macro="" textlink="AXB!K109">
      <xdr:nvSpPr>
        <xdr:cNvPr id="92" name="Retângulo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>
        <a:xfrm rot="16200000">
          <a:off x="8829938" y="32079510"/>
          <a:ext cx="533590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9B9AA111-2AA6-4B2F-970D-23D74B1EC80E}" type="TxLink">
            <a:rPr lang="en-US" sz="800" b="0" i="0" u="none" strike="noStrike">
              <a:solidFill>
                <a:srgbClr val="136FAD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136FAD"/>
            </a:solidFill>
          </a:endParaRPr>
        </a:p>
      </xdr:txBody>
    </xdr:sp>
    <xdr:clientData/>
  </xdr:twoCellAnchor>
  <xdr:twoCellAnchor>
    <xdr:from>
      <xdr:col>12</xdr:col>
      <xdr:colOff>286504</xdr:colOff>
      <xdr:row>166</xdr:row>
      <xdr:rowOff>53042</xdr:rowOff>
    </xdr:from>
    <xdr:to>
      <xdr:col>13</xdr:col>
      <xdr:colOff>211189</xdr:colOff>
      <xdr:row>167</xdr:row>
      <xdr:rowOff>68184</xdr:rowOff>
    </xdr:to>
    <xdr:sp macro="" textlink="AXB!H114">
      <xdr:nvSpPr>
        <xdr:cNvPr id="93" name="Retângulo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 flipH="1">
          <a:off x="9906754" y="33009542"/>
          <a:ext cx="734310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5583DA2A-AC7B-4A9D-A78B-F2DF1C12C71B}" type="TxLink">
            <a:rPr lang="en-US" sz="800" b="0" i="0" u="none" strike="noStrike">
              <a:solidFill>
                <a:srgbClr val="136FAD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136FAD"/>
            </a:solidFill>
          </a:endParaRPr>
        </a:p>
      </xdr:txBody>
    </xdr:sp>
    <xdr:clientData/>
  </xdr:twoCellAnchor>
  <xdr:twoCellAnchor>
    <xdr:from>
      <xdr:col>12</xdr:col>
      <xdr:colOff>92312</xdr:colOff>
      <xdr:row>159</xdr:row>
      <xdr:rowOff>84297</xdr:rowOff>
    </xdr:from>
    <xdr:to>
      <xdr:col>13</xdr:col>
      <xdr:colOff>16997</xdr:colOff>
      <xdr:row>160</xdr:row>
      <xdr:rowOff>99439</xdr:rowOff>
    </xdr:to>
    <xdr:sp macro="" textlink="AXB!I106">
      <xdr:nvSpPr>
        <xdr:cNvPr id="94" name="Retângulo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>
        <a:xfrm rot="1870507" flipH="1">
          <a:off x="9712562" y="31707297"/>
          <a:ext cx="734310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B9E698A3-04D5-4F77-8F01-C794DE1697BF}" type="TxLink">
            <a:rPr lang="en-US" sz="800" b="0" i="0" u="none" strike="noStrike">
              <a:solidFill>
                <a:srgbClr val="815301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815301"/>
            </a:solidFill>
          </a:endParaRPr>
        </a:p>
      </xdr:txBody>
    </xdr:sp>
    <xdr:clientData/>
  </xdr:twoCellAnchor>
  <xdr:twoCellAnchor>
    <xdr:from>
      <xdr:col>12</xdr:col>
      <xdr:colOff>186575</xdr:colOff>
      <xdr:row>163</xdr:row>
      <xdr:rowOff>2885</xdr:rowOff>
    </xdr:from>
    <xdr:to>
      <xdr:col>13</xdr:col>
      <xdr:colOff>111260</xdr:colOff>
      <xdr:row>164</xdr:row>
      <xdr:rowOff>18027</xdr:rowOff>
    </xdr:to>
    <xdr:sp macro="" textlink="AXB!I111">
      <xdr:nvSpPr>
        <xdr:cNvPr id="95" name="Retângulo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>
        <a:xfrm rot="19729493">
          <a:off x="9806825" y="32387885"/>
          <a:ext cx="734310" cy="2056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fld id="{1743DCD9-EBF4-45D1-A081-A3C0928738A4}" type="TxLink">
            <a:rPr lang="en-US" sz="800" b="0" i="0" u="none" strike="noStrike">
              <a:solidFill>
                <a:srgbClr val="815301"/>
              </a:solidFill>
              <a:latin typeface="Calibri"/>
              <a:cs typeface="Calibri"/>
            </a:rPr>
            <a:pPr algn="l"/>
            <a:t> </a:t>
          </a:fld>
          <a:endParaRPr lang="pt-BR" sz="100">
            <a:solidFill>
              <a:srgbClr val="815301"/>
            </a:solidFill>
          </a:endParaRPr>
        </a:p>
      </xdr:txBody>
    </xdr:sp>
    <xdr:clientData/>
  </xdr:twoCellAnchor>
  <xdr:twoCellAnchor>
    <xdr:from>
      <xdr:col>2</xdr:col>
      <xdr:colOff>123971</xdr:colOff>
      <xdr:row>70</xdr:row>
      <xdr:rowOff>177597</xdr:rowOff>
    </xdr:from>
    <xdr:to>
      <xdr:col>2</xdr:col>
      <xdr:colOff>607112</xdr:colOff>
      <xdr:row>71</xdr:row>
      <xdr:rowOff>172521</xdr:rowOff>
    </xdr:to>
    <xdr:sp macro="" textlink="$D$67">
      <xdr:nvSpPr>
        <xdr:cNvPr id="99" name="Retângulo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1698725" y="14558956"/>
          <a:ext cx="483141" cy="2035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1584E0D9-5C46-44DA-8193-151B31EFAEF2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0,2237 kN/m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</xdr:col>
      <xdr:colOff>95265</xdr:colOff>
      <xdr:row>72</xdr:row>
      <xdr:rowOff>109250</xdr:rowOff>
    </xdr:from>
    <xdr:to>
      <xdr:col>2</xdr:col>
      <xdr:colOff>635818</xdr:colOff>
      <xdr:row>73</xdr:row>
      <xdr:rowOff>106711</xdr:rowOff>
    </xdr:to>
    <xdr:sp macro="" textlink="DSB!I29">
      <xdr:nvSpPr>
        <xdr:cNvPr id="100" name="Retângulo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1670019" y="14907763"/>
          <a:ext cx="540553" cy="2060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58A5F4E1-7FDB-4FA1-AB7F-43D364641544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1,54 m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96514</xdr:colOff>
      <xdr:row>69</xdr:row>
      <xdr:rowOff>122507</xdr:rowOff>
    </xdr:from>
    <xdr:to>
      <xdr:col>5</xdr:col>
      <xdr:colOff>663400</xdr:colOff>
      <xdr:row>70</xdr:row>
      <xdr:rowOff>113168</xdr:rowOff>
    </xdr:to>
    <xdr:sp macro="" textlink="$F$67">
      <xdr:nvSpPr>
        <xdr:cNvPr id="104" name="Retângulo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4184616" y="14295290"/>
          <a:ext cx="566886" cy="1992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3BB0ED52-CD3E-4A5B-9036-E17027555446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0,7416 kN/m</a:t>
          </a:fld>
          <a:endParaRPr lang="pt-BR" sz="6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61859</xdr:colOff>
      <xdr:row>72</xdr:row>
      <xdr:rowOff>109250</xdr:rowOff>
    </xdr:from>
    <xdr:to>
      <xdr:col>5</xdr:col>
      <xdr:colOff>698056</xdr:colOff>
      <xdr:row>73</xdr:row>
      <xdr:rowOff>102395</xdr:rowOff>
    </xdr:to>
    <xdr:sp macro="" textlink="DSB!I29">
      <xdr:nvSpPr>
        <xdr:cNvPr id="105" name="Retângulo 104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4149961" y="14907763"/>
          <a:ext cx="636197" cy="2017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58A5F4E1-7FDB-4FA1-AB7F-43D364641544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1,54 m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9</xdr:col>
      <xdr:colOff>72387</xdr:colOff>
      <xdr:row>70</xdr:row>
      <xdr:rowOff>150879</xdr:rowOff>
    </xdr:from>
    <xdr:to>
      <xdr:col>9</xdr:col>
      <xdr:colOff>669032</xdr:colOff>
      <xdr:row>71</xdr:row>
      <xdr:rowOff>146245</xdr:rowOff>
    </xdr:to>
    <xdr:sp macro="" textlink="$J$63">
      <xdr:nvSpPr>
        <xdr:cNvPr id="118" name="Retângulo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/>
      </xdr:nvSpPr>
      <xdr:spPr>
        <a:xfrm>
          <a:off x="7122278" y="14532238"/>
          <a:ext cx="596645" cy="2039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A6097F1-E4D8-4324-BF60-754199CD267F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0,1512 kN/m</a:t>
          </a:fld>
          <a:endParaRPr lang="pt-BR" sz="2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8</xdr:col>
      <xdr:colOff>123267</xdr:colOff>
      <xdr:row>70</xdr:row>
      <xdr:rowOff>150879</xdr:rowOff>
    </xdr:from>
    <xdr:to>
      <xdr:col>8</xdr:col>
      <xdr:colOff>680817</xdr:colOff>
      <xdr:row>71</xdr:row>
      <xdr:rowOff>146245</xdr:rowOff>
    </xdr:to>
    <xdr:sp macro="" textlink="$J$60">
      <xdr:nvSpPr>
        <xdr:cNvPr id="119" name="Retângulo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6477902" y="14532238"/>
          <a:ext cx="557550" cy="2039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ED7415FC-6926-4FAB-83E0-14E367F40108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0,2888 kN/m</a:t>
          </a:fld>
          <a:endParaRPr lang="pt-BR" sz="200" b="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8</xdr:col>
      <xdr:colOff>296894</xdr:colOff>
      <xdr:row>72</xdr:row>
      <xdr:rowOff>109250</xdr:rowOff>
    </xdr:from>
    <xdr:to>
      <xdr:col>9</xdr:col>
      <xdr:colOff>139655</xdr:colOff>
      <xdr:row>73</xdr:row>
      <xdr:rowOff>107159</xdr:rowOff>
    </xdr:to>
    <xdr:sp macro="" textlink="DSB!I29">
      <xdr:nvSpPr>
        <xdr:cNvPr id="117" name="Retângulo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6651529" y="14907763"/>
          <a:ext cx="538017" cy="2064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58A5F4E1-7FDB-4FA1-AB7F-43D364641544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1,54 m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4</xdr:col>
      <xdr:colOff>202598</xdr:colOff>
      <xdr:row>74</xdr:row>
      <xdr:rowOff>174121</xdr:rowOff>
    </xdr:from>
    <xdr:to>
      <xdr:col>5</xdr:col>
      <xdr:colOff>8420</xdr:colOff>
      <xdr:row>75</xdr:row>
      <xdr:rowOff>155257</xdr:rowOff>
    </xdr:to>
    <xdr:sp macro="" textlink="AXB!T73">
      <xdr:nvSpPr>
        <xdr:cNvPr id="122" name="Retângulo 12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/>
      </xdr:nvSpPr>
      <xdr:spPr>
        <a:xfrm>
          <a:off x="3425107" y="15389787"/>
          <a:ext cx="671415" cy="18971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B762E8C1-C951-4326-A209-F81EED96017F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0,5713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9</xdr:col>
      <xdr:colOff>293740</xdr:colOff>
      <xdr:row>74</xdr:row>
      <xdr:rowOff>130241</xdr:rowOff>
    </xdr:from>
    <xdr:to>
      <xdr:col>9</xdr:col>
      <xdr:colOff>880894</xdr:colOff>
      <xdr:row>75</xdr:row>
      <xdr:rowOff>127864</xdr:rowOff>
    </xdr:to>
    <xdr:sp macro="" textlink="AXB!$R$88">
      <xdr:nvSpPr>
        <xdr:cNvPr id="126" name="Retângulo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>
          <a:off x="7348809" y="15455638"/>
          <a:ext cx="587154" cy="2078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C6A4F4BE-840D-456F-A666-761942F76FC2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0,5217</a:t>
          </a:fld>
          <a:endParaRPr lang="pt-BR" sz="1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8</xdr:col>
      <xdr:colOff>278574</xdr:colOff>
      <xdr:row>75</xdr:row>
      <xdr:rowOff>56785</xdr:rowOff>
    </xdr:from>
    <xdr:to>
      <xdr:col>9</xdr:col>
      <xdr:colOff>170472</xdr:colOff>
      <xdr:row>76</xdr:row>
      <xdr:rowOff>58226</xdr:rowOff>
    </xdr:to>
    <xdr:sp macro="" textlink="AXB!$Q$89">
      <xdr:nvSpPr>
        <xdr:cNvPr id="127" name="Retângulo 126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/>
      </xdr:nvSpPr>
      <xdr:spPr>
        <a:xfrm>
          <a:off x="6784149" y="15715885"/>
          <a:ext cx="587223" cy="21099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BCCCFDDB-39AA-442D-8F39-8570ED7F12FC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0,4053</a:t>
          </a:fld>
          <a:endParaRPr lang="pt-BR" sz="1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10</xdr:col>
      <xdr:colOff>205282</xdr:colOff>
      <xdr:row>74</xdr:row>
      <xdr:rowOff>179195</xdr:rowOff>
    </xdr:from>
    <xdr:to>
      <xdr:col>10</xdr:col>
      <xdr:colOff>730120</xdr:colOff>
      <xdr:row>75</xdr:row>
      <xdr:rowOff>201438</xdr:rowOff>
    </xdr:to>
    <xdr:sp macro="" textlink="AXB!W92">
      <xdr:nvSpPr>
        <xdr:cNvPr id="131" name="Retângulo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/>
      </xdr:nvSpPr>
      <xdr:spPr>
        <a:xfrm>
          <a:off x="8187232" y="15461105"/>
          <a:ext cx="524838" cy="23179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8AE460E-B993-475D-A37E-0B7DC754D6A5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0,8646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11</xdr:col>
      <xdr:colOff>250557</xdr:colOff>
      <xdr:row>75</xdr:row>
      <xdr:rowOff>151509</xdr:rowOff>
    </xdr:from>
    <xdr:to>
      <xdr:col>11</xdr:col>
      <xdr:colOff>775395</xdr:colOff>
      <xdr:row>76</xdr:row>
      <xdr:rowOff>174408</xdr:rowOff>
    </xdr:to>
    <xdr:sp macro="" textlink="AXB!V91">
      <xdr:nvSpPr>
        <xdr:cNvPr id="132" name="Retângulo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/>
      </xdr:nvSpPr>
      <xdr:spPr>
        <a:xfrm>
          <a:off x="9241477" y="15901777"/>
          <a:ext cx="524838" cy="2338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DB6CE141-6E8F-46F9-AC8E-D5B4A004CA2D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0,4787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</xdr:col>
      <xdr:colOff>193049</xdr:colOff>
      <xdr:row>155</xdr:row>
      <xdr:rowOff>62717</xdr:rowOff>
    </xdr:from>
    <xdr:to>
      <xdr:col>8</xdr:col>
      <xdr:colOff>459033</xdr:colOff>
      <xdr:row>167</xdr:row>
      <xdr:rowOff>28684</xdr:rowOff>
    </xdr:to>
    <xdr:grpSp>
      <xdr:nvGrpSpPr>
        <xdr:cNvPr id="135" name="Agrupar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GrpSpPr/>
      </xdr:nvGrpSpPr>
      <xdr:grpSpPr>
        <a:xfrm>
          <a:off x="1084589" y="33034457"/>
          <a:ext cx="6072424" cy="2526287"/>
          <a:chOff x="1097552" y="30893226"/>
          <a:chExt cx="5791086" cy="2251967"/>
        </a:xfrm>
      </xdr:grpSpPr>
      <xdr:sp macro="" textlink="$P$148">
        <xdr:nvSpPr>
          <xdr:cNvPr id="136" name="Retângulo 135">
            <a:extLst>
              <a:ext uri="{FF2B5EF4-FFF2-40B4-BE49-F238E27FC236}">
                <a16:creationId xmlns:a16="http://schemas.microsoft.com/office/drawing/2014/main" id="{00000000-0008-0000-0400-000088000000}"/>
              </a:ext>
            </a:extLst>
          </xdr:cNvPr>
          <xdr:cNvSpPr/>
        </xdr:nvSpPr>
        <xdr:spPr>
          <a:xfrm>
            <a:off x="1097552" y="32485868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4FB83F43-EC57-4EB9-91B5-FF793BD9D9BE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0,00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O$149">
        <xdr:nvSpPr>
          <xdr:cNvPr id="139" name="Retângulo 138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/>
        </xdr:nvSpPr>
        <xdr:spPr>
          <a:xfrm>
            <a:off x="3649440" y="32939551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1751F878-8E8E-4886-B9CC-D903E970CC3F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ctr"/>
              <a:t>0,0000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O$148">
        <xdr:nvSpPr>
          <xdr:cNvPr id="144" name="Retângulo 143">
            <a:extLst>
              <a:ext uri="{FF2B5EF4-FFF2-40B4-BE49-F238E27FC236}">
                <a16:creationId xmlns:a16="http://schemas.microsoft.com/office/drawing/2014/main" id="{00000000-0008-0000-0400-000090000000}"/>
              </a:ext>
            </a:extLst>
          </xdr:cNvPr>
          <xdr:cNvSpPr/>
        </xdr:nvSpPr>
        <xdr:spPr>
          <a:xfrm>
            <a:off x="1385110" y="32093926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C090C349-F648-432A-97E1-67AF3EEB5B75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4,4790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P$151">
        <xdr:nvSpPr>
          <xdr:cNvPr id="146" name="Retângulo 145">
            <a:extLst>
              <a:ext uri="{FF2B5EF4-FFF2-40B4-BE49-F238E27FC236}">
                <a16:creationId xmlns:a16="http://schemas.microsoft.com/office/drawing/2014/main" id="{00000000-0008-0000-0400-000092000000}"/>
              </a:ext>
            </a:extLst>
          </xdr:cNvPr>
          <xdr:cNvSpPr/>
        </xdr:nvSpPr>
        <xdr:spPr>
          <a:xfrm>
            <a:off x="2014954" y="31920008"/>
            <a:ext cx="532514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FD340EDF-6C61-4D7B-B042-F822D4E9F1BC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0,0000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O$151">
        <xdr:nvSpPr>
          <xdr:cNvPr id="148" name="Retângulo 147">
            <a:extLst>
              <a:ext uri="{FF2B5EF4-FFF2-40B4-BE49-F238E27FC236}">
                <a16:creationId xmlns:a16="http://schemas.microsoft.com/office/drawing/2014/main" id="{00000000-0008-0000-0400-000094000000}"/>
              </a:ext>
            </a:extLst>
          </xdr:cNvPr>
          <xdr:cNvSpPr/>
        </xdr:nvSpPr>
        <xdr:spPr>
          <a:xfrm>
            <a:off x="2675710" y="31404428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96248122-7BD8-4517-B3C3-3ADE52874809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4,7774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O$153">
        <xdr:nvSpPr>
          <xdr:cNvPr id="153" name="Retângulo 152">
            <a:extLst>
              <a:ext uri="{FF2B5EF4-FFF2-40B4-BE49-F238E27FC236}">
                <a16:creationId xmlns:a16="http://schemas.microsoft.com/office/drawing/2014/main" id="{00000000-0008-0000-0400-000099000000}"/>
              </a:ext>
            </a:extLst>
          </xdr:cNvPr>
          <xdr:cNvSpPr/>
        </xdr:nvSpPr>
        <xdr:spPr>
          <a:xfrm>
            <a:off x="3649440" y="30893226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8B5E4A4E-0C38-49EF-81EE-0D4997466EDD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4,7774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P$148">
        <xdr:nvSpPr>
          <xdr:cNvPr id="268" name="Retângulo 267">
            <a:extLst>
              <a:ext uri="{FF2B5EF4-FFF2-40B4-BE49-F238E27FC236}">
                <a16:creationId xmlns:a16="http://schemas.microsoft.com/office/drawing/2014/main" id="{00000000-0008-0000-0400-00000C010000}"/>
              </a:ext>
            </a:extLst>
          </xdr:cNvPr>
          <xdr:cNvSpPr/>
        </xdr:nvSpPr>
        <xdr:spPr>
          <a:xfrm>
            <a:off x="6355665" y="32485868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4FB83F43-EC57-4EB9-91B5-FF793BD9D9BE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0,00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O$148">
        <xdr:nvSpPr>
          <xdr:cNvPr id="269" name="Retângulo 268">
            <a:extLst>
              <a:ext uri="{FF2B5EF4-FFF2-40B4-BE49-F238E27FC236}">
                <a16:creationId xmlns:a16="http://schemas.microsoft.com/office/drawing/2014/main" id="{00000000-0008-0000-0400-00000D010000}"/>
              </a:ext>
            </a:extLst>
          </xdr:cNvPr>
          <xdr:cNvSpPr/>
        </xdr:nvSpPr>
        <xdr:spPr>
          <a:xfrm>
            <a:off x="5934373" y="32093926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C090C349-F648-432A-97E1-67AF3EEB5B75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4,4790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P$151">
        <xdr:nvSpPr>
          <xdr:cNvPr id="270" name="Retângulo 269">
            <a:extLst>
              <a:ext uri="{FF2B5EF4-FFF2-40B4-BE49-F238E27FC236}">
                <a16:creationId xmlns:a16="http://schemas.microsoft.com/office/drawing/2014/main" id="{00000000-0008-0000-0400-00000E010000}"/>
              </a:ext>
            </a:extLst>
          </xdr:cNvPr>
          <xdr:cNvSpPr/>
        </xdr:nvSpPr>
        <xdr:spPr>
          <a:xfrm>
            <a:off x="5327805" y="31920008"/>
            <a:ext cx="532514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FD340EDF-6C61-4D7B-B042-F822D4E9F1BC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0,0000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$O$151">
        <xdr:nvSpPr>
          <xdr:cNvPr id="271" name="Retângulo 270">
            <a:extLst>
              <a:ext uri="{FF2B5EF4-FFF2-40B4-BE49-F238E27FC236}">
                <a16:creationId xmlns:a16="http://schemas.microsoft.com/office/drawing/2014/main" id="{00000000-0008-0000-0400-00000F010000}"/>
              </a:ext>
            </a:extLst>
          </xdr:cNvPr>
          <xdr:cNvSpPr/>
        </xdr:nvSpPr>
        <xdr:spPr>
          <a:xfrm>
            <a:off x="4641410" y="31404428"/>
            <a:ext cx="532973" cy="2056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96248122-7BD8-4517-B3C3-3ADE52874809}" type="TxLink">
              <a:rPr lang="en-US" sz="900" b="1" i="0" u="none" strike="noStrike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rPr>
              <a:pPr algn="l"/>
              <a:t>4,7774 kN</a:t>
            </a:fld>
            <a:endParaRPr lang="pt-BR" sz="100" b="1">
              <a:solidFill>
                <a:srgbClr val="FD3F0B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719245</xdr:colOff>
      <xdr:row>160</xdr:row>
      <xdr:rowOff>107476</xdr:rowOff>
    </xdr:from>
    <xdr:to>
      <xdr:col>12</xdr:col>
      <xdr:colOff>54448</xdr:colOff>
      <xdr:row>163</xdr:row>
      <xdr:rowOff>18212</xdr:rowOff>
    </xdr:to>
    <xdr:sp macro="" textlink="AXB!G113">
      <xdr:nvSpPr>
        <xdr:cNvPr id="157" name="Retângulo 156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/>
      </xdr:nvSpPr>
      <xdr:spPr>
        <a:xfrm rot="16200000" flipH="1">
          <a:off x="9317871" y="32063703"/>
          <a:ext cx="482236" cy="2400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AD21823A-45E6-4E78-A12C-CB181EF6DC59}" type="TxLink">
            <a:rPr lang="en-US" sz="700" b="0" i="0" u="none" strike="noStrike">
              <a:solidFill>
                <a:srgbClr val="AF7101"/>
              </a:solidFill>
              <a:latin typeface="Calibri"/>
              <a:cs typeface="Calibri"/>
            </a:rPr>
            <a:pPr algn="ctr"/>
            <a:t> </a:t>
          </a:fld>
          <a:endParaRPr lang="pt-BR" sz="100">
            <a:solidFill>
              <a:srgbClr val="AF7101"/>
            </a:solidFill>
          </a:endParaRPr>
        </a:p>
      </xdr:txBody>
    </xdr:sp>
    <xdr:clientData/>
  </xdr:twoCellAnchor>
  <xdr:twoCellAnchor>
    <xdr:from>
      <xdr:col>11</xdr:col>
      <xdr:colOff>140281</xdr:colOff>
      <xdr:row>159</xdr:row>
      <xdr:rowOff>39001</xdr:rowOff>
    </xdr:from>
    <xdr:to>
      <xdr:col>11</xdr:col>
      <xdr:colOff>560275</xdr:colOff>
      <xdr:row>160</xdr:row>
      <xdr:rowOff>85136</xdr:rowOff>
    </xdr:to>
    <xdr:sp macro="" textlink="AXB!G112">
      <xdr:nvSpPr>
        <xdr:cNvPr id="160" name="Retângulo 159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/>
      </xdr:nvSpPr>
      <xdr:spPr>
        <a:xfrm rot="19729493">
          <a:off x="8859986" y="31683649"/>
          <a:ext cx="419994" cy="2366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5963E9C9-3733-4D2D-ACEB-BD00F6183CD4}" type="TxLink">
            <a:rPr lang="en-US" sz="700" b="0" i="0" u="none" strike="noStrike">
              <a:solidFill>
                <a:srgbClr val="C00000"/>
              </a:solidFill>
              <a:latin typeface="Calibri"/>
              <a:cs typeface="Calibri"/>
            </a:rPr>
            <a:pPr algn="ctr"/>
            <a:t> </a:t>
          </a:fld>
          <a:endParaRPr lang="pt-BR" sz="100">
            <a:solidFill>
              <a:srgbClr val="C00000"/>
            </a:solidFill>
          </a:endParaRPr>
        </a:p>
      </xdr:txBody>
    </xdr:sp>
    <xdr:clientData/>
  </xdr:twoCellAnchor>
  <xdr:twoCellAnchor>
    <xdr:from>
      <xdr:col>11</xdr:col>
      <xdr:colOff>225927</xdr:colOff>
      <xdr:row>161</xdr:row>
      <xdr:rowOff>157438</xdr:rowOff>
    </xdr:from>
    <xdr:to>
      <xdr:col>11</xdr:col>
      <xdr:colOff>784592</xdr:colOff>
      <xdr:row>163</xdr:row>
      <xdr:rowOff>20312</xdr:rowOff>
    </xdr:to>
    <xdr:sp macro="" textlink="AXB!G111">
      <xdr:nvSpPr>
        <xdr:cNvPr id="162" name="Retângulo 16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 rot="1777782" flipH="1">
          <a:off x="8945632" y="32183086"/>
          <a:ext cx="558665" cy="2438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94E70ED-4081-4177-A328-5CF502DC764D}" type="TxLink">
            <a:rPr lang="en-US" sz="700" b="0" i="0" u="none" strike="noStrike">
              <a:solidFill>
                <a:srgbClr val="C00000"/>
              </a:solidFill>
              <a:latin typeface="Calibri"/>
              <a:cs typeface="Calibri"/>
            </a:rPr>
            <a:pPr algn="ctr"/>
            <a:t> </a:t>
          </a:fld>
          <a:endParaRPr lang="pt-BR" sz="100">
            <a:solidFill>
              <a:srgbClr val="C00000"/>
            </a:solidFill>
          </a:endParaRPr>
        </a:p>
      </xdr:txBody>
    </xdr:sp>
    <xdr:clientData/>
  </xdr:twoCellAnchor>
  <xdr:twoCellAnchor>
    <xdr:from>
      <xdr:col>12</xdr:col>
      <xdr:colOff>379285</xdr:colOff>
      <xdr:row>159</xdr:row>
      <xdr:rowOff>35447</xdr:rowOff>
    </xdr:from>
    <xdr:to>
      <xdr:col>13</xdr:col>
      <xdr:colOff>17817</xdr:colOff>
      <xdr:row>160</xdr:row>
      <xdr:rowOff>88689</xdr:rowOff>
    </xdr:to>
    <xdr:sp macro="" textlink="AXB!G112">
      <xdr:nvSpPr>
        <xdr:cNvPr id="167" name="Retângulo 166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 rot="1870507" flipH="1">
          <a:off x="10003865" y="31680095"/>
          <a:ext cx="448157" cy="2437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5963E9C9-3733-4D2D-ACEB-BD00F6183CD4}" type="TxLink">
            <a:rPr lang="en-US" sz="700" b="0" i="0" u="none" strike="noStrike">
              <a:solidFill>
                <a:srgbClr val="C00000"/>
              </a:solidFill>
              <a:latin typeface="Calibri"/>
              <a:cs typeface="Calibri"/>
            </a:rPr>
            <a:pPr algn="ctr"/>
            <a:t> </a:t>
          </a:fld>
          <a:endParaRPr lang="pt-BR" sz="100">
            <a:solidFill>
              <a:srgbClr val="C00000"/>
            </a:solidFill>
          </a:endParaRPr>
        </a:p>
      </xdr:txBody>
    </xdr:sp>
    <xdr:clientData/>
  </xdr:twoCellAnchor>
  <xdr:twoCellAnchor>
    <xdr:from>
      <xdr:col>12</xdr:col>
      <xdr:colOff>223775</xdr:colOff>
      <xdr:row>161</xdr:row>
      <xdr:rowOff>157504</xdr:rowOff>
    </xdr:from>
    <xdr:to>
      <xdr:col>12</xdr:col>
      <xdr:colOff>760253</xdr:colOff>
      <xdr:row>163</xdr:row>
      <xdr:rowOff>20246</xdr:rowOff>
    </xdr:to>
    <xdr:sp macro="" textlink="AXB!G111">
      <xdr:nvSpPr>
        <xdr:cNvPr id="169" name="Retângulo 168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/>
      </xdr:nvSpPr>
      <xdr:spPr>
        <a:xfrm rot="19865536">
          <a:off x="9848355" y="32183152"/>
          <a:ext cx="536478" cy="2437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94E70ED-4081-4177-A328-5CF502DC764D}" type="TxLink">
            <a:rPr lang="en-US" sz="700" b="0" i="0" u="none" strike="noStrike">
              <a:solidFill>
                <a:srgbClr val="C00000"/>
              </a:solidFill>
              <a:latin typeface="Calibri"/>
              <a:cs typeface="Calibri"/>
            </a:rPr>
            <a:pPr algn="ctr"/>
            <a:t> </a:t>
          </a:fld>
          <a:endParaRPr lang="pt-BR" sz="100">
            <a:solidFill>
              <a:srgbClr val="C00000"/>
            </a:solidFill>
          </a:endParaRPr>
        </a:p>
      </xdr:txBody>
    </xdr:sp>
    <xdr:clientData/>
  </xdr:twoCellAnchor>
  <xdr:twoCellAnchor>
    <xdr:from>
      <xdr:col>16</xdr:col>
      <xdr:colOff>516256</xdr:colOff>
      <xdr:row>114</xdr:row>
      <xdr:rowOff>132810</xdr:rowOff>
    </xdr:from>
    <xdr:to>
      <xdr:col>17</xdr:col>
      <xdr:colOff>549604</xdr:colOff>
      <xdr:row>119</xdr:row>
      <xdr:rowOff>24259</xdr:rowOff>
    </xdr:to>
    <xdr:grpSp>
      <xdr:nvGrpSpPr>
        <xdr:cNvPr id="177" name="Agrupar 176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GrpSpPr/>
      </xdr:nvGrpSpPr>
      <xdr:grpSpPr>
        <a:xfrm>
          <a:off x="14178916" y="24379650"/>
          <a:ext cx="673428" cy="958249"/>
          <a:chOff x="1914025" y="6646039"/>
          <a:chExt cx="771936" cy="1387621"/>
        </a:xfrm>
      </xdr:grpSpPr>
      <xdr:sp macro="" textlink="$R$111">
        <xdr:nvSpPr>
          <xdr:cNvPr id="178" name="Retângulo 177">
            <a:extLst>
              <a:ext uri="{FF2B5EF4-FFF2-40B4-BE49-F238E27FC236}">
                <a16:creationId xmlns:a16="http://schemas.microsoft.com/office/drawing/2014/main" id="{00000000-0008-0000-0400-0000B2000000}"/>
              </a:ext>
            </a:extLst>
          </xdr:cNvPr>
          <xdr:cNvSpPr/>
        </xdr:nvSpPr>
        <xdr:spPr>
          <a:xfrm>
            <a:off x="1925311" y="6646039"/>
            <a:ext cx="749362" cy="29689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1B17913B-EA5B-49A5-A546-4C849EA0DDFF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ctr"/>
              <a:t>1,80 kN/m²</a:t>
            </a:fld>
            <a:endParaRPr lang="pt-BR" sz="400" b="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DSB!C36">
        <xdr:nvSpPr>
          <xdr:cNvPr id="179" name="Retângulo 178">
            <a:extLst>
              <a:ext uri="{FF2B5EF4-FFF2-40B4-BE49-F238E27FC236}">
                <a16:creationId xmlns:a16="http://schemas.microsoft.com/office/drawing/2014/main" id="{00000000-0008-0000-0400-0000B3000000}"/>
              </a:ext>
            </a:extLst>
          </xdr:cNvPr>
          <xdr:cNvSpPr/>
        </xdr:nvSpPr>
        <xdr:spPr>
          <a:xfrm>
            <a:off x="1914025" y="7733092"/>
            <a:ext cx="771936" cy="30056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470C1669-CC06-4EF7-AE1E-8D04201FD15A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ctr"/>
              <a:t>2,50 m</a:t>
            </a:fld>
            <a:endParaRPr lang="pt-BR" sz="4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15</xdr:col>
      <xdr:colOff>491468</xdr:colOff>
      <xdr:row>120</xdr:row>
      <xdr:rowOff>52530</xdr:rowOff>
    </xdr:from>
    <xdr:to>
      <xdr:col>18</xdr:col>
      <xdr:colOff>467830</xdr:colOff>
      <xdr:row>125</xdr:row>
      <xdr:rowOff>133550</xdr:rowOff>
    </xdr:to>
    <xdr:grpSp>
      <xdr:nvGrpSpPr>
        <xdr:cNvPr id="182" name="Agrupar 18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GrpSpPr/>
      </xdr:nvGrpSpPr>
      <xdr:grpSpPr>
        <a:xfrm>
          <a:off x="13376888" y="25579530"/>
          <a:ext cx="2445242" cy="1147820"/>
          <a:chOff x="986140" y="8322494"/>
          <a:chExt cx="2932816" cy="1686575"/>
        </a:xfrm>
      </xdr:grpSpPr>
      <xdr:sp macro="" textlink="AXB!AQ76">
        <xdr:nvSpPr>
          <xdr:cNvPr id="183" name="Retângulo 182">
            <a:extLst>
              <a:ext uri="{FF2B5EF4-FFF2-40B4-BE49-F238E27FC236}">
                <a16:creationId xmlns:a16="http://schemas.microsoft.com/office/drawing/2014/main" id="{00000000-0008-0000-0400-0000B7000000}"/>
              </a:ext>
            </a:extLst>
          </xdr:cNvPr>
          <xdr:cNvSpPr/>
        </xdr:nvSpPr>
        <xdr:spPr>
          <a:xfrm>
            <a:off x="986140" y="8322494"/>
            <a:ext cx="869810" cy="28499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987CFD17-6AD5-4B7B-B05C-495EE4F0D5CA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2,2522</a:t>
            </a:fld>
            <a:endParaRPr lang="pt-BR" sz="100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Q76">
        <xdr:nvSpPr>
          <xdr:cNvPr id="184" name="Retângulo 183">
            <a:extLst>
              <a:ext uri="{FF2B5EF4-FFF2-40B4-BE49-F238E27FC236}">
                <a16:creationId xmlns:a16="http://schemas.microsoft.com/office/drawing/2014/main" id="{00000000-0008-0000-0400-0000B8000000}"/>
              </a:ext>
            </a:extLst>
          </xdr:cNvPr>
          <xdr:cNvSpPr/>
        </xdr:nvSpPr>
        <xdr:spPr>
          <a:xfrm>
            <a:off x="3049146" y="9724076"/>
            <a:ext cx="869810" cy="28499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987CFD17-6AD5-4B7B-B05C-495EE4F0D5CA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2,2522</a:t>
            </a:fld>
            <a:endParaRPr lang="pt-BR" sz="100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16</xdr:col>
      <xdr:colOff>440982</xdr:colOff>
      <xdr:row>128</xdr:row>
      <xdr:rowOff>61648</xdr:rowOff>
    </xdr:from>
    <xdr:to>
      <xdr:col>17</xdr:col>
      <xdr:colOff>601065</xdr:colOff>
      <xdr:row>129</xdr:row>
      <xdr:rowOff>56118</xdr:rowOff>
    </xdr:to>
    <xdr:sp macro="" textlink="AXB!AO81">
      <xdr:nvSpPr>
        <xdr:cNvPr id="187" name="Retângulo 186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/>
      </xdr:nvSpPr>
      <xdr:spPr>
        <a:xfrm>
          <a:off x="13558957" y="26810018"/>
          <a:ext cx="778002" cy="2054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EB23E365-3CC9-4511-B082-78DDE902C7F4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1,4076</a:t>
          </a:fld>
          <a:endParaRPr lang="pt-BR" sz="100" strike="noStrike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19</xdr:col>
      <xdr:colOff>264355</xdr:colOff>
      <xdr:row>114</xdr:row>
      <xdr:rowOff>108191</xdr:rowOff>
    </xdr:from>
    <xdr:to>
      <xdr:col>21</xdr:col>
      <xdr:colOff>183698</xdr:colOff>
      <xdr:row>119</xdr:row>
      <xdr:rowOff>1194</xdr:rowOff>
    </xdr:to>
    <xdr:grpSp>
      <xdr:nvGrpSpPr>
        <xdr:cNvPr id="190" name="Agrupar 189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GrpSpPr/>
      </xdr:nvGrpSpPr>
      <xdr:grpSpPr>
        <a:xfrm>
          <a:off x="16243495" y="24355031"/>
          <a:ext cx="1367143" cy="959803"/>
          <a:chOff x="4711043" y="5311227"/>
          <a:chExt cx="1128723" cy="848834"/>
        </a:xfrm>
      </xdr:grpSpPr>
      <xdr:sp macro="" textlink="DSB!C36">
        <xdr:nvSpPr>
          <xdr:cNvPr id="191" name="Retângulo 190">
            <a:extLst>
              <a:ext uri="{FF2B5EF4-FFF2-40B4-BE49-F238E27FC236}">
                <a16:creationId xmlns:a16="http://schemas.microsoft.com/office/drawing/2014/main" id="{00000000-0008-0000-0400-0000BF000000}"/>
              </a:ext>
            </a:extLst>
          </xdr:cNvPr>
          <xdr:cNvSpPr/>
        </xdr:nvSpPr>
        <xdr:spPr>
          <a:xfrm>
            <a:off x="5234491" y="5976723"/>
            <a:ext cx="497746" cy="1833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A830FD65-52E1-437F-B2CF-71D88FA2241B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2,50 m</a:t>
            </a:fld>
            <a:endParaRPr lang="pt-BR" sz="40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$V$107">
        <xdr:nvSpPr>
          <xdr:cNvPr id="192" name="Retângulo 191">
            <a:extLst>
              <a:ext uri="{FF2B5EF4-FFF2-40B4-BE49-F238E27FC236}">
                <a16:creationId xmlns:a16="http://schemas.microsoft.com/office/drawing/2014/main" id="{00000000-0008-0000-0400-0000C0000000}"/>
              </a:ext>
            </a:extLst>
          </xdr:cNvPr>
          <xdr:cNvSpPr/>
        </xdr:nvSpPr>
        <xdr:spPr>
          <a:xfrm>
            <a:off x="4711043" y="5485479"/>
            <a:ext cx="511142" cy="1810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26286D57-004F-4320-B143-9EEC7EF3C572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1,26 kN/m</a:t>
            </a:fld>
            <a:endParaRPr lang="pt-BR" sz="100" b="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$V$105">
        <xdr:nvSpPr>
          <xdr:cNvPr id="193" name="Retângulo 192">
            <a:extLst>
              <a:ext uri="{FF2B5EF4-FFF2-40B4-BE49-F238E27FC236}">
                <a16:creationId xmlns:a16="http://schemas.microsoft.com/office/drawing/2014/main" id="{00000000-0008-0000-0400-0000C1000000}"/>
              </a:ext>
            </a:extLst>
          </xdr:cNvPr>
          <xdr:cNvSpPr/>
        </xdr:nvSpPr>
        <xdr:spPr>
          <a:xfrm>
            <a:off x="5238637" y="5311227"/>
            <a:ext cx="601129" cy="1810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25D57B44-E913-4F76-8B42-BFBE88AB6B83}" type="TxLink">
              <a:rPr lang="en-US" sz="800" b="0" i="0" u="none" strike="noStrike">
                <a:solidFill>
                  <a:srgbClr val="F7B163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1,00 kN</a:t>
            </a:fld>
            <a:endParaRPr lang="pt-BR" sz="100" b="0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20</xdr:col>
      <xdr:colOff>214478</xdr:colOff>
      <xdr:row>128</xdr:row>
      <xdr:rowOff>65141</xdr:rowOff>
    </xdr:from>
    <xdr:to>
      <xdr:col>21</xdr:col>
      <xdr:colOff>92901</xdr:colOff>
      <xdr:row>129</xdr:row>
      <xdr:rowOff>59092</xdr:rowOff>
    </xdr:to>
    <xdr:sp macro="" textlink="AXB!AO96">
      <xdr:nvSpPr>
        <xdr:cNvPr id="196" name="Retângulo 195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16186938" y="26813511"/>
          <a:ext cx="677197" cy="20494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3B76B4F5-964A-40E2-B14B-F30FF9B007AA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1,6114</a:t>
          </a:fld>
          <a:endParaRPr lang="pt-BR" sz="400" strike="noStrike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19</xdr:col>
      <xdr:colOff>57721</xdr:colOff>
      <xdr:row>120</xdr:row>
      <xdr:rowOff>50556</xdr:rowOff>
    </xdr:from>
    <xdr:to>
      <xdr:col>22</xdr:col>
      <xdr:colOff>547700</xdr:colOff>
      <xdr:row>125</xdr:row>
      <xdr:rowOff>185153</xdr:rowOff>
    </xdr:to>
    <xdr:grpSp>
      <xdr:nvGrpSpPr>
        <xdr:cNvPr id="199" name="Agrupar 198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GrpSpPr/>
      </xdr:nvGrpSpPr>
      <xdr:grpSpPr>
        <a:xfrm>
          <a:off x="16036861" y="25577556"/>
          <a:ext cx="2684539" cy="1201397"/>
          <a:chOff x="4487027" y="6399613"/>
          <a:chExt cx="2354155" cy="1077230"/>
        </a:xfrm>
      </xdr:grpSpPr>
      <xdr:sp macro="" textlink="AXB!AQ91">
        <xdr:nvSpPr>
          <xdr:cNvPr id="200" name="Retângulo 199">
            <a:extLst>
              <a:ext uri="{FF2B5EF4-FFF2-40B4-BE49-F238E27FC236}">
                <a16:creationId xmlns:a16="http://schemas.microsoft.com/office/drawing/2014/main" id="{00000000-0008-0000-0400-0000C8000000}"/>
              </a:ext>
            </a:extLst>
          </xdr:cNvPr>
          <xdr:cNvSpPr/>
        </xdr:nvSpPr>
        <xdr:spPr>
          <a:xfrm>
            <a:off x="6009752" y="7264937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5783BF36-FEA7-4F23-B36A-FBAE3300BE37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2,0782</a:t>
            </a:fld>
            <a:endParaRPr lang="pt-BR" sz="100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O91">
        <xdr:nvSpPr>
          <xdr:cNvPr id="201" name="Retângulo 200">
            <a:extLst>
              <a:ext uri="{FF2B5EF4-FFF2-40B4-BE49-F238E27FC236}">
                <a16:creationId xmlns:a16="http://schemas.microsoft.com/office/drawing/2014/main" id="{00000000-0008-0000-0400-0000C9000000}"/>
              </a:ext>
            </a:extLst>
          </xdr:cNvPr>
          <xdr:cNvSpPr/>
        </xdr:nvSpPr>
        <xdr:spPr>
          <a:xfrm>
            <a:off x="5307341" y="6585623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ABBDCC5F-C4CD-4FC9-85F1-A2242FB4A030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0,5000</a:t>
            </a:fld>
            <a:endParaRPr lang="en-US" sz="1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AXB!AQ91">
        <xdr:nvSpPr>
          <xdr:cNvPr id="202" name="Retângulo 201">
            <a:extLst>
              <a:ext uri="{FF2B5EF4-FFF2-40B4-BE49-F238E27FC236}">
                <a16:creationId xmlns:a16="http://schemas.microsoft.com/office/drawing/2014/main" id="{00000000-0008-0000-0400-0000CA000000}"/>
              </a:ext>
            </a:extLst>
          </xdr:cNvPr>
          <xdr:cNvSpPr/>
        </xdr:nvSpPr>
        <xdr:spPr>
          <a:xfrm>
            <a:off x="4487027" y="6399613"/>
            <a:ext cx="831430" cy="21190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5783BF36-FEA7-4F23-B36A-FBAE3300BE37}" type="TxLink">
              <a:rPr lang="en-US" sz="800" b="0" i="0" u="none" strike="noStrike">
                <a:solidFill>
                  <a:srgbClr val="FD3F0B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pPr algn="l"/>
              <a:t>2,0782</a:t>
            </a:fld>
            <a:endParaRPr lang="pt-BR" sz="100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</xdr:col>
      <xdr:colOff>828675</xdr:colOff>
      <xdr:row>13</xdr:row>
      <xdr:rowOff>189036</xdr:rowOff>
    </xdr:from>
    <xdr:to>
      <xdr:col>6</xdr:col>
      <xdr:colOff>19050</xdr:colOff>
      <xdr:row>25</xdr:row>
      <xdr:rowOff>14655</xdr:rowOff>
    </xdr:to>
    <xdr:sp macro="" textlink="">
      <xdr:nvSpPr>
        <xdr:cNvPr id="203" name="Retângulo: Cantos Arredondados 202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/>
      </xdr:nvSpPr>
      <xdr:spPr>
        <a:xfrm>
          <a:off x="1546713" y="2709498"/>
          <a:ext cx="3491279" cy="2375388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838200</xdr:colOff>
      <xdr:row>4</xdr:row>
      <xdr:rowOff>178777</xdr:rowOff>
    </xdr:from>
    <xdr:to>
      <xdr:col>7</xdr:col>
      <xdr:colOff>22411</xdr:colOff>
      <xdr:row>10</xdr:row>
      <xdr:rowOff>9525</xdr:rowOff>
    </xdr:to>
    <xdr:sp macro="" textlink="">
      <xdr:nvSpPr>
        <xdr:cNvPr id="204" name="Retângulo: Cantos Arredondados 20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>
          <a:off x="1704975" y="1016977"/>
          <a:ext cx="4213411" cy="1030898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581025</xdr:colOff>
      <xdr:row>22</xdr:row>
      <xdr:rowOff>180975</xdr:rowOff>
    </xdr:from>
    <xdr:to>
      <xdr:col>10</xdr:col>
      <xdr:colOff>19050</xdr:colOff>
      <xdr:row>25</xdr:row>
      <xdr:rowOff>28575</xdr:rowOff>
    </xdr:to>
    <xdr:sp macro="" textlink="">
      <xdr:nvSpPr>
        <xdr:cNvPr id="205" name="Retângulo: Cantos Arredondados 204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/>
      </xdr:nvSpPr>
      <xdr:spPr>
        <a:xfrm>
          <a:off x="6210300" y="4333875"/>
          <a:ext cx="1666875" cy="457200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581025</xdr:colOff>
      <xdr:row>13</xdr:row>
      <xdr:rowOff>189035</xdr:rowOff>
    </xdr:from>
    <xdr:to>
      <xdr:col>13</xdr:col>
      <xdr:colOff>9525</xdr:colOff>
      <xdr:row>20</xdr:row>
      <xdr:rowOff>21981</xdr:rowOff>
    </xdr:to>
    <xdr:sp macro="" textlink="">
      <xdr:nvSpPr>
        <xdr:cNvPr id="206" name="Retângulo: Cantos Arredondados 205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6325333" y="2709497"/>
          <a:ext cx="4249615" cy="1320311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840439</xdr:colOff>
      <xdr:row>11</xdr:row>
      <xdr:rowOff>200024</xdr:rowOff>
    </xdr:from>
    <xdr:to>
      <xdr:col>13</xdr:col>
      <xdr:colOff>0</xdr:colOff>
      <xdr:row>13</xdr:row>
      <xdr:rowOff>6111</xdr:rowOff>
    </xdr:to>
    <xdr:sp macro="" textlink="">
      <xdr:nvSpPr>
        <xdr:cNvPr id="207" name="Retângulo: Cantos Arredondados 206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1554814" y="2276474"/>
          <a:ext cx="9008411" cy="225187"/>
        </a:xfrm>
        <a:prstGeom prst="roundRect">
          <a:avLst>
            <a:gd name="adj" fmla="val 22518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849382</xdr:colOff>
      <xdr:row>44</xdr:row>
      <xdr:rowOff>176006</xdr:rowOff>
    </xdr:from>
    <xdr:to>
      <xdr:col>8</xdr:col>
      <xdr:colOff>22412</xdr:colOff>
      <xdr:row>51</xdr:row>
      <xdr:rowOff>8283</xdr:rowOff>
    </xdr:to>
    <xdr:sp macro="" textlink="">
      <xdr:nvSpPr>
        <xdr:cNvPr id="208" name="Retângulo: Cantos Arredondados 207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1566558" y="8535594"/>
          <a:ext cx="4899236" cy="1233013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835080</xdr:colOff>
      <xdr:row>55</xdr:row>
      <xdr:rowOff>183173</xdr:rowOff>
    </xdr:from>
    <xdr:to>
      <xdr:col>6</xdr:col>
      <xdr:colOff>15040</xdr:colOff>
      <xdr:row>67</xdr:row>
      <xdr:rowOff>18839</xdr:rowOff>
    </xdr:to>
    <xdr:sp macro="" textlink="">
      <xdr:nvSpPr>
        <xdr:cNvPr id="209" name="Retângulo: Cantos Arredondados 208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1553118" y="11627827"/>
          <a:ext cx="3480864" cy="2385435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607528</xdr:colOff>
      <xdr:row>64</xdr:row>
      <xdr:rowOff>172614</xdr:rowOff>
    </xdr:from>
    <xdr:to>
      <xdr:col>10</xdr:col>
      <xdr:colOff>14567</xdr:colOff>
      <xdr:row>67</xdr:row>
      <xdr:rowOff>20213</xdr:rowOff>
    </xdr:to>
    <xdr:sp macro="" textlink="">
      <xdr:nvSpPr>
        <xdr:cNvPr id="210" name="Retângulo: Cantos Arredondados 209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/>
      </xdr:nvSpPr>
      <xdr:spPr>
        <a:xfrm>
          <a:off x="6351836" y="13529595"/>
          <a:ext cx="1634423" cy="485041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844900</xdr:colOff>
      <xdr:row>86</xdr:row>
      <xdr:rowOff>185165</xdr:rowOff>
    </xdr:from>
    <xdr:to>
      <xdr:col>8</xdr:col>
      <xdr:colOff>22411</xdr:colOff>
      <xdr:row>93</xdr:row>
      <xdr:rowOff>12215</xdr:rowOff>
    </xdr:to>
    <xdr:sp macro="" textlink="">
      <xdr:nvSpPr>
        <xdr:cNvPr id="211" name="Retângulo: Cantos Arredondados 210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/>
      </xdr:nvSpPr>
      <xdr:spPr>
        <a:xfrm>
          <a:off x="1559275" y="17977865"/>
          <a:ext cx="4816311" cy="1332000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73</xdr:colOff>
      <xdr:row>56</xdr:row>
      <xdr:rowOff>182298</xdr:rowOff>
    </xdr:from>
    <xdr:to>
      <xdr:col>12</xdr:col>
      <xdr:colOff>24847</xdr:colOff>
      <xdr:row>63</xdr:row>
      <xdr:rowOff>29308</xdr:rowOff>
    </xdr:to>
    <xdr:sp macro="" textlink="">
      <xdr:nvSpPr>
        <xdr:cNvPr id="212" name="Retângulo: Cantos Arredondados 21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/>
      </xdr:nvSpPr>
      <xdr:spPr>
        <a:xfrm>
          <a:off x="6352515" y="11839433"/>
          <a:ext cx="3417140" cy="1334375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12</xdr:col>
      <xdr:colOff>790575</xdr:colOff>
      <xdr:row>57</xdr:row>
      <xdr:rowOff>3614</xdr:rowOff>
    </xdr:from>
    <xdr:to>
      <xdr:col>18</xdr:col>
      <xdr:colOff>0</xdr:colOff>
      <xdr:row>65</xdr:row>
      <xdr:rowOff>14655</xdr:rowOff>
    </xdr:to>
    <xdr:sp macro="" textlink="">
      <xdr:nvSpPr>
        <xdr:cNvPr id="213" name="Retângulo: Cantos Arredondados 212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/>
      </xdr:nvSpPr>
      <xdr:spPr>
        <a:xfrm>
          <a:off x="10534650" y="11719364"/>
          <a:ext cx="4219575" cy="1687441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854046</xdr:colOff>
      <xdr:row>53</xdr:row>
      <xdr:rowOff>194263</xdr:rowOff>
    </xdr:from>
    <xdr:to>
      <xdr:col>18</xdr:col>
      <xdr:colOff>8283</xdr:colOff>
      <xdr:row>54</xdr:row>
      <xdr:rowOff>200713</xdr:rowOff>
    </xdr:to>
    <xdr:sp macro="" textlink="">
      <xdr:nvSpPr>
        <xdr:cNvPr id="214" name="Retângulo: Cantos Arredondados 213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/>
      </xdr:nvSpPr>
      <xdr:spPr>
        <a:xfrm>
          <a:off x="1568421" y="11071813"/>
          <a:ext cx="13194087" cy="216000"/>
        </a:xfrm>
        <a:prstGeom prst="roundRect">
          <a:avLst>
            <a:gd name="adj" fmla="val 22518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824659</xdr:colOff>
      <xdr:row>100</xdr:row>
      <xdr:rowOff>195608</xdr:rowOff>
    </xdr:from>
    <xdr:to>
      <xdr:col>6</xdr:col>
      <xdr:colOff>11906</xdr:colOff>
      <xdr:row>112</xdr:row>
      <xdr:rowOff>21838</xdr:rowOff>
    </xdr:to>
    <xdr:sp macro="" textlink="">
      <xdr:nvSpPr>
        <xdr:cNvPr id="215" name="Retângulo: Cantos Arredondados 214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/>
      </xdr:nvSpPr>
      <xdr:spPr>
        <a:xfrm>
          <a:off x="1542697" y="21201896"/>
          <a:ext cx="3488151" cy="2376000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584153</xdr:colOff>
      <xdr:row>101</xdr:row>
      <xdr:rowOff>175825</xdr:rowOff>
    </xdr:from>
    <xdr:to>
      <xdr:col>12</xdr:col>
      <xdr:colOff>11907</xdr:colOff>
      <xdr:row>108</xdr:row>
      <xdr:rowOff>7327</xdr:rowOff>
    </xdr:to>
    <xdr:sp macro="" textlink="">
      <xdr:nvSpPr>
        <xdr:cNvPr id="216" name="Retângulo: Cantos Arredondados 215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/>
      </xdr:nvSpPr>
      <xdr:spPr>
        <a:xfrm>
          <a:off x="6328461" y="21394594"/>
          <a:ext cx="3428254" cy="1318868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599631</xdr:colOff>
      <xdr:row>109</xdr:row>
      <xdr:rowOff>176762</xdr:rowOff>
    </xdr:from>
    <xdr:to>
      <xdr:col>10</xdr:col>
      <xdr:colOff>28247</xdr:colOff>
      <xdr:row>112</xdr:row>
      <xdr:rowOff>7319</xdr:rowOff>
    </xdr:to>
    <xdr:sp macro="" textlink="">
      <xdr:nvSpPr>
        <xdr:cNvPr id="217" name="Retângulo: Cantos Arredondados 216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/>
      </xdr:nvSpPr>
      <xdr:spPr>
        <a:xfrm>
          <a:off x="6343939" y="23095377"/>
          <a:ext cx="1656000" cy="468000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4141</xdr:colOff>
      <xdr:row>131</xdr:row>
      <xdr:rowOff>179594</xdr:rowOff>
    </xdr:from>
    <xdr:to>
      <xdr:col>8</xdr:col>
      <xdr:colOff>17860</xdr:colOff>
      <xdr:row>141</xdr:row>
      <xdr:rowOff>14654</xdr:rowOff>
    </xdr:to>
    <xdr:sp macro="" textlink="">
      <xdr:nvSpPr>
        <xdr:cNvPr id="218" name="Retângulo: Cantos Arredondados 217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/>
      </xdr:nvSpPr>
      <xdr:spPr>
        <a:xfrm>
          <a:off x="1579429" y="27750806"/>
          <a:ext cx="4790873" cy="1937886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662016</xdr:colOff>
      <xdr:row>131</xdr:row>
      <xdr:rowOff>179594</xdr:rowOff>
    </xdr:from>
    <xdr:to>
      <xdr:col>14</xdr:col>
      <xdr:colOff>22411</xdr:colOff>
      <xdr:row>138</xdr:row>
      <xdr:rowOff>12367</xdr:rowOff>
    </xdr:to>
    <xdr:sp macro="" textlink="">
      <xdr:nvSpPr>
        <xdr:cNvPr id="219" name="Retângulo: Cantos Arredondados 218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/>
      </xdr:nvSpPr>
      <xdr:spPr>
        <a:xfrm>
          <a:off x="7014458" y="27750806"/>
          <a:ext cx="4467261" cy="1298157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722558</xdr:colOff>
      <xdr:row>100</xdr:row>
      <xdr:rowOff>184457</xdr:rowOff>
    </xdr:from>
    <xdr:to>
      <xdr:col>18</xdr:col>
      <xdr:colOff>14654</xdr:colOff>
      <xdr:row>111</xdr:row>
      <xdr:rowOff>7594</xdr:rowOff>
    </xdr:to>
    <xdr:sp macro="" textlink="">
      <xdr:nvSpPr>
        <xdr:cNvPr id="220" name="Retângulo: Cantos Arredondados 219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/>
      </xdr:nvSpPr>
      <xdr:spPr>
        <a:xfrm>
          <a:off x="13090404" y="21190745"/>
          <a:ext cx="1688000" cy="2160426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600499</xdr:colOff>
      <xdr:row>101</xdr:row>
      <xdr:rowOff>181980</xdr:rowOff>
    </xdr:from>
    <xdr:to>
      <xdr:col>22</xdr:col>
      <xdr:colOff>6569</xdr:colOff>
      <xdr:row>107</xdr:row>
      <xdr:rowOff>7418</xdr:rowOff>
    </xdr:to>
    <xdr:sp macro="" textlink="">
      <xdr:nvSpPr>
        <xdr:cNvPr id="221" name="Retângulo: Cantos Arredondados 220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/>
      </xdr:nvSpPr>
      <xdr:spPr>
        <a:xfrm>
          <a:off x="16116724" y="21327480"/>
          <a:ext cx="1539670" cy="1082738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732979</xdr:colOff>
      <xdr:row>131</xdr:row>
      <xdr:rowOff>179594</xdr:rowOff>
    </xdr:from>
    <xdr:to>
      <xdr:col>18</xdr:col>
      <xdr:colOff>11206</xdr:colOff>
      <xdr:row>138</xdr:row>
      <xdr:rowOff>194597</xdr:rowOff>
    </xdr:to>
    <xdr:sp macro="" textlink="">
      <xdr:nvSpPr>
        <xdr:cNvPr id="222" name="Retângulo: Cantos Arredondados 22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/>
      </xdr:nvSpPr>
      <xdr:spPr>
        <a:xfrm>
          <a:off x="13105237" y="26808626"/>
          <a:ext cx="1664598" cy="1438632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586153</xdr:colOff>
      <xdr:row>131</xdr:row>
      <xdr:rowOff>179594</xdr:rowOff>
    </xdr:from>
    <xdr:to>
      <xdr:col>21</xdr:col>
      <xdr:colOff>718038</xdr:colOff>
      <xdr:row>138</xdr:row>
      <xdr:rowOff>7185</xdr:rowOff>
    </xdr:to>
    <xdr:sp macro="" textlink="">
      <xdr:nvSpPr>
        <xdr:cNvPr id="223" name="Retângulo: Cantos Arredondados 222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/>
      </xdr:nvSpPr>
      <xdr:spPr>
        <a:xfrm>
          <a:off x="15349903" y="27750806"/>
          <a:ext cx="2146789" cy="1292975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847500</xdr:colOff>
      <xdr:row>96</xdr:row>
      <xdr:rowOff>192436</xdr:rowOff>
    </xdr:from>
    <xdr:to>
      <xdr:col>23</xdr:col>
      <xdr:colOff>1</xdr:colOff>
      <xdr:row>98</xdr:row>
      <xdr:rowOff>9525</xdr:rowOff>
    </xdr:to>
    <xdr:sp macro="" textlink="">
      <xdr:nvSpPr>
        <xdr:cNvPr id="224" name="Retângulo: Cantos Arredondados 223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/>
      </xdr:nvSpPr>
      <xdr:spPr>
        <a:xfrm>
          <a:off x="1561875" y="20080636"/>
          <a:ext cx="16745176" cy="236189"/>
        </a:xfrm>
        <a:prstGeom prst="roundRect">
          <a:avLst>
            <a:gd name="adj" fmla="val 22518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843651</xdr:colOff>
      <xdr:row>141</xdr:row>
      <xdr:rowOff>186819</xdr:rowOff>
    </xdr:from>
    <xdr:to>
      <xdr:col>16</xdr:col>
      <xdr:colOff>11906</xdr:colOff>
      <xdr:row>143</xdr:row>
      <xdr:rowOff>10242</xdr:rowOff>
    </xdr:to>
    <xdr:sp macro="" textlink="">
      <xdr:nvSpPr>
        <xdr:cNvPr id="225" name="Retângulo: Cantos Arredondados 224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/>
      </xdr:nvSpPr>
      <xdr:spPr>
        <a:xfrm>
          <a:off x="1560586" y="28853996"/>
          <a:ext cx="11571239" cy="233101"/>
        </a:xfrm>
        <a:prstGeom prst="roundRect">
          <a:avLst>
            <a:gd name="adj" fmla="val 22518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841637</xdr:colOff>
      <xdr:row>98</xdr:row>
      <xdr:rowOff>199474</xdr:rowOff>
    </xdr:from>
    <xdr:to>
      <xdr:col>11</xdr:col>
      <xdr:colOff>892394</xdr:colOff>
      <xdr:row>100</xdr:row>
      <xdr:rowOff>10988</xdr:rowOff>
    </xdr:to>
    <xdr:sp macro="" textlink="">
      <xdr:nvSpPr>
        <xdr:cNvPr id="226" name="Retângulo: Cantos Arredondados 225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/>
      </xdr:nvSpPr>
      <xdr:spPr>
        <a:xfrm>
          <a:off x="1556012" y="20822800"/>
          <a:ext cx="8189529" cy="236737"/>
        </a:xfrm>
        <a:prstGeom prst="roundRect">
          <a:avLst>
            <a:gd name="adj" fmla="val 22518"/>
          </a:avLst>
        </a:prstGeom>
        <a:noFill/>
        <a:ln w="28575">
          <a:solidFill>
            <a:srgbClr val="3135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742589</xdr:colOff>
      <xdr:row>98</xdr:row>
      <xdr:rowOff>198696</xdr:rowOff>
    </xdr:from>
    <xdr:to>
      <xdr:col>23</xdr:col>
      <xdr:colOff>7327</xdr:colOff>
      <xdr:row>100</xdr:row>
      <xdr:rowOff>11073</xdr:rowOff>
    </xdr:to>
    <xdr:sp macro="" textlink="">
      <xdr:nvSpPr>
        <xdr:cNvPr id="227" name="Retângulo: Cantos Arredondados 226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/>
      </xdr:nvSpPr>
      <xdr:spPr>
        <a:xfrm>
          <a:off x="13108080" y="20822022"/>
          <a:ext cx="5209359" cy="237600"/>
        </a:xfrm>
        <a:prstGeom prst="roundRect">
          <a:avLst>
            <a:gd name="adj" fmla="val 22518"/>
          </a:avLst>
        </a:prstGeom>
        <a:noFill/>
        <a:ln w="28575">
          <a:solidFill>
            <a:srgbClr val="3135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828676</xdr:colOff>
      <xdr:row>144</xdr:row>
      <xdr:rowOff>182440</xdr:rowOff>
    </xdr:from>
    <xdr:to>
      <xdr:col>16</xdr:col>
      <xdr:colOff>20484</xdr:colOff>
      <xdr:row>153</xdr:row>
      <xdr:rowOff>15875</xdr:rowOff>
    </xdr:to>
    <xdr:sp macro="" textlink="">
      <xdr:nvSpPr>
        <xdr:cNvPr id="228" name="Retângulo: Cantos Arredondados 227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/>
      </xdr:nvSpPr>
      <xdr:spPr>
        <a:xfrm>
          <a:off x="1545611" y="29464134"/>
          <a:ext cx="11594792" cy="1676983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849922</xdr:colOff>
      <xdr:row>179</xdr:row>
      <xdr:rowOff>177210</xdr:rowOff>
    </xdr:from>
    <xdr:to>
      <xdr:col>14</xdr:col>
      <xdr:colOff>19049</xdr:colOff>
      <xdr:row>193</xdr:row>
      <xdr:rowOff>25731</xdr:rowOff>
    </xdr:to>
    <xdr:sp macro="" textlink="">
      <xdr:nvSpPr>
        <xdr:cNvPr id="229" name="Retângulo: Cantos Arredondados 228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1569835" y="38399041"/>
          <a:ext cx="9890290" cy="2772475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104058</xdr:colOff>
      <xdr:row>27</xdr:row>
      <xdr:rowOff>168173</xdr:rowOff>
    </xdr:from>
    <xdr:to>
      <xdr:col>5</xdr:col>
      <xdr:colOff>686669</xdr:colOff>
      <xdr:row>28</xdr:row>
      <xdr:rowOff>158681</xdr:rowOff>
    </xdr:to>
    <xdr:sp macro="" textlink="$F$25">
      <xdr:nvSpPr>
        <xdr:cNvPr id="235" name="Retângulo 234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4191644" y="5660016"/>
          <a:ext cx="582611" cy="202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C44E2F71-D58A-420A-A7D1-A6396575A634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0,3882 kN/m</a:t>
          </a:fld>
          <a:endParaRPr lang="pt-BR" sz="2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138668</xdr:colOff>
      <xdr:row>31</xdr:row>
      <xdr:rowOff>56889</xdr:rowOff>
    </xdr:from>
    <xdr:to>
      <xdr:col>5</xdr:col>
      <xdr:colOff>738830</xdr:colOff>
      <xdr:row>32</xdr:row>
      <xdr:rowOff>49905</xdr:rowOff>
    </xdr:to>
    <xdr:sp macro="" textlink="DSB!J155">
      <xdr:nvSpPr>
        <xdr:cNvPr id="236" name="Retângulo 235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4226254" y="6397818"/>
          <a:ext cx="600162" cy="2052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0E144302-6C42-4032-AE8F-DFED8A7C2185}" type="TxLink">
            <a:rPr lang="en-US" sz="800" b="0" i="0" u="none" strike="noStrike">
              <a:solidFill>
                <a:srgbClr val="EABD0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 </a:t>
          </a:fld>
          <a:endParaRPr lang="pt-BR" sz="800">
            <a:solidFill>
              <a:srgbClr val="EABD00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139061</xdr:colOff>
      <xdr:row>31</xdr:row>
      <xdr:rowOff>14110</xdr:rowOff>
    </xdr:from>
    <xdr:to>
      <xdr:col>5</xdr:col>
      <xdr:colOff>651666</xdr:colOff>
      <xdr:row>32</xdr:row>
      <xdr:rowOff>7126</xdr:rowOff>
    </xdr:to>
    <xdr:sp macro="" textlink="DSB!F29">
      <xdr:nvSpPr>
        <xdr:cNvPr id="232" name="Retângulo 23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4226647" y="6355039"/>
          <a:ext cx="512605" cy="2052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fld id="{0E144302-6C42-4032-AE8F-DFED8A7C2185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ctr"/>
            <a:t>0,70 m</a:t>
          </a:fld>
          <a:endParaRPr lang="pt-BR" sz="8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7</xdr:col>
      <xdr:colOff>593070</xdr:colOff>
      <xdr:row>40</xdr:row>
      <xdr:rowOff>99124</xdr:rowOff>
    </xdr:from>
    <xdr:to>
      <xdr:col>9</xdr:col>
      <xdr:colOff>368145</xdr:colOff>
      <xdr:row>42</xdr:row>
      <xdr:rowOff>149632</xdr:rowOff>
    </xdr:to>
    <xdr:grpSp>
      <xdr:nvGrpSpPr>
        <xdr:cNvPr id="237" name="Agrupar 236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GrpSpPr/>
      </xdr:nvGrpSpPr>
      <xdr:grpSpPr>
        <a:xfrm>
          <a:off x="6666210" y="8542084"/>
          <a:ext cx="1116195" cy="477228"/>
          <a:chOff x="6139970" y="7816454"/>
          <a:chExt cx="828950" cy="431508"/>
        </a:xfrm>
        <a:solidFill>
          <a:schemeClr val="accent2"/>
        </a:solidFill>
        <a:effectLst/>
      </xdr:grpSpPr>
      <xdr:sp macro="" textlink="">
        <xdr:nvSpPr>
          <xdr:cNvPr id="238" name="Retângulo: Cantos Arredondados 237">
            <a:extLst>
              <a:ext uri="{FF2B5EF4-FFF2-40B4-BE49-F238E27FC236}">
                <a16:creationId xmlns:a16="http://schemas.microsoft.com/office/drawing/2014/main" id="{00000000-0008-0000-0400-0000EE000000}"/>
              </a:ext>
            </a:extLst>
          </xdr:cNvPr>
          <xdr:cNvSpPr/>
        </xdr:nvSpPr>
        <xdr:spPr>
          <a:xfrm>
            <a:off x="6139970" y="7816454"/>
            <a:ext cx="828949" cy="178333"/>
          </a:xfrm>
          <a:prstGeom prst="roundRect">
            <a:avLst/>
          </a:prstGeom>
          <a:gradFill>
            <a:gsLst>
              <a:gs pos="100000">
                <a:srgbClr val="FC0404"/>
              </a:gs>
              <a:gs pos="0">
                <a:srgbClr val="FD3F0B"/>
              </a:gs>
            </a:gsLst>
            <a:lin ang="1080000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80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Cortante</a:t>
            </a:r>
            <a:r>
              <a:rPr lang="pt-BR" sz="800" baseline="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[kN]</a:t>
            </a:r>
            <a:endParaRPr lang="pt-BR" sz="800">
              <a:solidFill>
                <a:prstClr val="white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239" name="Retângulo: Cantos Arredondados 238">
            <a:extLst>
              <a:ext uri="{FF2B5EF4-FFF2-40B4-BE49-F238E27FC236}">
                <a16:creationId xmlns:a16="http://schemas.microsoft.com/office/drawing/2014/main" id="{00000000-0008-0000-0400-0000EF000000}"/>
              </a:ext>
            </a:extLst>
          </xdr:cNvPr>
          <xdr:cNvSpPr/>
        </xdr:nvSpPr>
        <xdr:spPr>
          <a:xfrm>
            <a:off x="6139970" y="8070711"/>
            <a:ext cx="828950" cy="177251"/>
          </a:xfrm>
          <a:prstGeom prst="roundRect">
            <a:avLst/>
          </a:prstGeom>
          <a:gradFill>
            <a:gsLst>
              <a:gs pos="100000">
                <a:srgbClr val="FD5E20"/>
              </a:gs>
              <a:gs pos="16000">
                <a:srgbClr val="FEEB76"/>
              </a:gs>
            </a:gsLst>
            <a:lin ang="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80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Momento</a:t>
            </a:r>
            <a:r>
              <a:rPr lang="pt-BR" sz="800" baseline="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[kNꞏm]</a:t>
            </a:r>
            <a:endParaRPr lang="pt-BR" sz="800">
              <a:solidFill>
                <a:srgbClr val="241716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13</xdr:col>
      <xdr:colOff>325028</xdr:colOff>
      <xdr:row>80</xdr:row>
      <xdr:rowOff>105926</xdr:rowOff>
    </xdr:from>
    <xdr:to>
      <xdr:col>15</xdr:col>
      <xdr:colOff>168518</xdr:colOff>
      <xdr:row>84</xdr:row>
      <xdr:rowOff>16961</xdr:rowOff>
    </xdr:to>
    <xdr:grpSp>
      <xdr:nvGrpSpPr>
        <xdr:cNvPr id="240" name="Agrupar 239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GrpSpPr/>
      </xdr:nvGrpSpPr>
      <xdr:grpSpPr>
        <a:xfrm>
          <a:off x="11358788" y="17083286"/>
          <a:ext cx="1695150" cy="764475"/>
          <a:chOff x="6137708" y="7574927"/>
          <a:chExt cx="833468" cy="673035"/>
        </a:xfrm>
        <a:solidFill>
          <a:srgbClr val="1D2125"/>
        </a:solidFill>
      </xdr:grpSpPr>
      <xdr:sp macro="" textlink="">
        <xdr:nvSpPr>
          <xdr:cNvPr id="241" name="Retângulo: Cantos Arredondados 240">
            <a:extLst>
              <a:ext uri="{FF2B5EF4-FFF2-40B4-BE49-F238E27FC236}">
                <a16:creationId xmlns:a16="http://schemas.microsoft.com/office/drawing/2014/main" id="{00000000-0008-0000-0400-0000F1000000}"/>
              </a:ext>
            </a:extLst>
          </xdr:cNvPr>
          <xdr:cNvSpPr/>
        </xdr:nvSpPr>
        <xdr:spPr>
          <a:xfrm>
            <a:off x="6139971" y="7574927"/>
            <a:ext cx="828949" cy="178333"/>
          </a:xfrm>
          <a:prstGeom prst="roundRect">
            <a:avLst/>
          </a:prstGeom>
          <a:gradFill>
            <a:gsLst>
              <a:gs pos="100000">
                <a:srgbClr val="FC0404"/>
              </a:gs>
              <a:gs pos="0">
                <a:srgbClr val="FD3F0B"/>
              </a:gs>
            </a:gsLst>
            <a:lin ang="1080000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80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Cortante</a:t>
            </a:r>
            <a:r>
              <a:rPr lang="pt-BR" sz="800" baseline="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[kN]</a:t>
            </a:r>
            <a:endParaRPr lang="pt-BR" sz="800">
              <a:solidFill>
                <a:prstClr val="white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242" name="Retângulo: Cantos Arredondados 241">
            <a:extLst>
              <a:ext uri="{FF2B5EF4-FFF2-40B4-BE49-F238E27FC236}">
                <a16:creationId xmlns:a16="http://schemas.microsoft.com/office/drawing/2014/main" id="{00000000-0008-0000-0400-0000F2000000}"/>
              </a:ext>
            </a:extLst>
          </xdr:cNvPr>
          <xdr:cNvSpPr/>
        </xdr:nvSpPr>
        <xdr:spPr>
          <a:xfrm>
            <a:off x="6137708" y="7817451"/>
            <a:ext cx="833468" cy="189068"/>
          </a:xfrm>
          <a:prstGeom prst="roundRect">
            <a:avLst/>
          </a:prstGeom>
          <a:gradFill>
            <a:gsLst>
              <a:gs pos="100000">
                <a:srgbClr val="FFB125"/>
              </a:gs>
              <a:gs pos="23000">
                <a:srgbClr val="FD3F0B"/>
              </a:gs>
            </a:gsLst>
            <a:lin ang="270000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800" kern="1200">
                <a:solidFill>
                  <a:srgbClr val="241716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Normal - Compressão [kN]</a:t>
            </a:r>
            <a:endParaRPr lang="pt-BR" sz="800">
              <a:solidFill>
                <a:srgbClr val="241716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243" name="Retângulo: Cantos Arredondados 242">
            <a:extLst>
              <a:ext uri="{FF2B5EF4-FFF2-40B4-BE49-F238E27FC236}">
                <a16:creationId xmlns:a16="http://schemas.microsoft.com/office/drawing/2014/main" id="{00000000-0008-0000-0400-0000F3000000}"/>
              </a:ext>
            </a:extLst>
          </xdr:cNvPr>
          <xdr:cNvSpPr/>
        </xdr:nvSpPr>
        <xdr:spPr>
          <a:xfrm>
            <a:off x="6139970" y="8070711"/>
            <a:ext cx="828950" cy="177251"/>
          </a:xfrm>
          <a:prstGeom prst="roundRect">
            <a:avLst/>
          </a:prstGeom>
          <a:gradFill>
            <a:gsLst>
              <a:gs pos="100000">
                <a:srgbClr val="FD5E20"/>
              </a:gs>
              <a:gs pos="16000">
                <a:srgbClr val="FEEB76"/>
              </a:gs>
            </a:gsLst>
            <a:lin ang="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80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Momento</a:t>
            </a:r>
            <a:r>
              <a:rPr lang="pt-BR" sz="800" baseline="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[kNꞏm]</a:t>
            </a:r>
            <a:endParaRPr lang="pt-BR" sz="800">
              <a:solidFill>
                <a:srgbClr val="241716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13</xdr:col>
      <xdr:colOff>414188</xdr:colOff>
      <xdr:row>127</xdr:row>
      <xdr:rowOff>4978</xdr:rowOff>
    </xdr:from>
    <xdr:to>
      <xdr:col>14</xdr:col>
      <xdr:colOff>666749</xdr:colOff>
      <xdr:row>129</xdr:row>
      <xdr:rowOff>55485</xdr:rowOff>
    </xdr:to>
    <xdr:grpSp>
      <xdr:nvGrpSpPr>
        <xdr:cNvPr id="244" name="Agrupar 243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GrpSpPr/>
      </xdr:nvGrpSpPr>
      <xdr:grpSpPr>
        <a:xfrm>
          <a:off x="11447948" y="27025498"/>
          <a:ext cx="1174581" cy="477227"/>
          <a:chOff x="6139970" y="7816454"/>
          <a:chExt cx="828950" cy="431508"/>
        </a:xfrm>
        <a:solidFill>
          <a:srgbClr val="313537"/>
        </a:solidFill>
      </xdr:grpSpPr>
      <xdr:sp macro="" textlink="">
        <xdr:nvSpPr>
          <xdr:cNvPr id="245" name="Retângulo: Cantos Arredondados 244">
            <a:extLst>
              <a:ext uri="{FF2B5EF4-FFF2-40B4-BE49-F238E27FC236}">
                <a16:creationId xmlns:a16="http://schemas.microsoft.com/office/drawing/2014/main" id="{00000000-0008-0000-0400-0000F5000000}"/>
              </a:ext>
            </a:extLst>
          </xdr:cNvPr>
          <xdr:cNvSpPr/>
        </xdr:nvSpPr>
        <xdr:spPr>
          <a:xfrm>
            <a:off x="6139970" y="7816454"/>
            <a:ext cx="828949" cy="178333"/>
          </a:xfrm>
          <a:prstGeom prst="roundRect">
            <a:avLst/>
          </a:prstGeom>
          <a:gradFill>
            <a:gsLst>
              <a:gs pos="100000">
                <a:srgbClr val="FC0404"/>
              </a:gs>
              <a:gs pos="0">
                <a:srgbClr val="FD3F0B"/>
              </a:gs>
            </a:gsLst>
            <a:lin ang="1080000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80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Cortante</a:t>
            </a:r>
            <a:r>
              <a:rPr lang="pt-BR" sz="800" baseline="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[kN]</a:t>
            </a:r>
            <a:endParaRPr lang="pt-BR" sz="800">
              <a:solidFill>
                <a:prstClr val="white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sp macro="" textlink="">
        <xdr:nvSpPr>
          <xdr:cNvPr id="246" name="Retângulo: Cantos Arredondados 245">
            <a:extLst>
              <a:ext uri="{FF2B5EF4-FFF2-40B4-BE49-F238E27FC236}">
                <a16:creationId xmlns:a16="http://schemas.microsoft.com/office/drawing/2014/main" id="{00000000-0008-0000-0400-0000F6000000}"/>
              </a:ext>
            </a:extLst>
          </xdr:cNvPr>
          <xdr:cNvSpPr/>
        </xdr:nvSpPr>
        <xdr:spPr>
          <a:xfrm>
            <a:off x="6139970" y="8070711"/>
            <a:ext cx="828950" cy="177251"/>
          </a:xfrm>
          <a:prstGeom prst="roundRect">
            <a:avLst/>
          </a:prstGeom>
          <a:gradFill>
            <a:gsLst>
              <a:gs pos="100000">
                <a:srgbClr val="FD5E20"/>
              </a:gs>
              <a:gs pos="16000">
                <a:srgbClr val="FEEB76"/>
              </a:gs>
            </a:gsLst>
            <a:lin ang="0" scaled="1"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80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Momento</a:t>
            </a:r>
            <a:r>
              <a:rPr lang="pt-BR" sz="800" baseline="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 [kNꞏm]</a:t>
            </a:r>
            <a:endParaRPr lang="pt-BR" sz="800">
              <a:solidFill>
                <a:srgbClr val="241716"/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>
    <xdr:from>
      <xdr:col>6</xdr:col>
      <xdr:colOff>409952</xdr:colOff>
      <xdr:row>176</xdr:row>
      <xdr:rowOff>153810</xdr:rowOff>
    </xdr:from>
    <xdr:to>
      <xdr:col>9</xdr:col>
      <xdr:colOff>200254</xdr:colOff>
      <xdr:row>177</xdr:row>
      <xdr:rowOff>141642</xdr:rowOff>
    </xdr:to>
    <xdr:grpSp>
      <xdr:nvGrpSpPr>
        <xdr:cNvPr id="247" name="Agrupar 246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GrpSpPr/>
      </xdr:nvGrpSpPr>
      <xdr:grpSpPr>
        <a:xfrm>
          <a:off x="5736332" y="37606110"/>
          <a:ext cx="1878182" cy="201192"/>
          <a:chOff x="6139970" y="7806660"/>
          <a:chExt cx="1828061" cy="178333"/>
        </a:xfrm>
        <a:solidFill>
          <a:srgbClr val="313537"/>
        </a:solidFill>
      </xdr:grpSpPr>
      <xdr:sp macro="" textlink="">
        <xdr:nvSpPr>
          <xdr:cNvPr id="248" name="Retângulo: Cantos Arredondados 247">
            <a:extLst>
              <a:ext uri="{FF2B5EF4-FFF2-40B4-BE49-F238E27FC236}">
                <a16:creationId xmlns:a16="http://schemas.microsoft.com/office/drawing/2014/main" id="{00000000-0008-0000-0400-0000F8000000}"/>
              </a:ext>
            </a:extLst>
          </xdr:cNvPr>
          <xdr:cNvSpPr/>
        </xdr:nvSpPr>
        <xdr:spPr>
          <a:xfrm>
            <a:off x="6139970" y="7806660"/>
            <a:ext cx="828949" cy="178333"/>
          </a:xfrm>
          <a:prstGeom prst="roundRect">
            <a:avLst/>
          </a:prstGeom>
          <a:gradFill flip="none" rotWithShape="1">
            <a:gsLst>
              <a:gs pos="0">
                <a:srgbClr val="FD3F0B"/>
              </a:gs>
              <a:gs pos="100000">
                <a:srgbClr val="FC0404"/>
              </a:gs>
            </a:gsLst>
            <a:lin ang="2700000" scaled="1"/>
            <a:tileRect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700">
                <a:solidFill>
                  <a:prstClr val="white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COMPRESSÃO</a:t>
            </a:r>
          </a:p>
        </xdr:txBody>
      </xdr:sp>
      <xdr:sp macro="" textlink="">
        <xdr:nvSpPr>
          <xdr:cNvPr id="249" name="Retângulo: Cantos Arredondados 248">
            <a:extLst>
              <a:ext uri="{FF2B5EF4-FFF2-40B4-BE49-F238E27FC236}">
                <a16:creationId xmlns:a16="http://schemas.microsoft.com/office/drawing/2014/main" id="{00000000-0008-0000-0400-0000F9000000}"/>
              </a:ext>
            </a:extLst>
          </xdr:cNvPr>
          <xdr:cNvSpPr/>
        </xdr:nvSpPr>
        <xdr:spPr>
          <a:xfrm>
            <a:off x="7139081" y="7807201"/>
            <a:ext cx="828950" cy="177251"/>
          </a:xfrm>
          <a:prstGeom prst="roundRect">
            <a:avLst/>
          </a:prstGeom>
          <a:gradFill flip="none" rotWithShape="1">
            <a:gsLst>
              <a:gs pos="0">
                <a:srgbClr val="FFD966"/>
              </a:gs>
              <a:gs pos="100000">
                <a:srgbClr val="FD5317"/>
              </a:gs>
            </a:gsLst>
            <a:lin ang="2700000" scaled="1"/>
            <a:tileRect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600">
                <a:solidFill>
                  <a:srgbClr val="241716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TRAÇÃO</a:t>
            </a:r>
          </a:p>
        </xdr:txBody>
      </xdr:sp>
    </xdr:grpSp>
    <xdr:clientData/>
  </xdr:twoCellAnchor>
  <xdr:twoCellAnchor>
    <xdr:from>
      <xdr:col>8</xdr:col>
      <xdr:colOff>500102</xdr:colOff>
      <xdr:row>157</xdr:row>
      <xdr:rowOff>31321</xdr:rowOff>
    </xdr:from>
    <xdr:to>
      <xdr:col>13</xdr:col>
      <xdr:colOff>843136</xdr:colOff>
      <xdr:row>165</xdr:row>
      <xdr:rowOff>147838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/>
      </xdr:nvGrpSpPr>
      <xdr:grpSpPr>
        <a:xfrm>
          <a:off x="7198082" y="33429781"/>
          <a:ext cx="4678814" cy="1823397"/>
          <a:chOff x="7653377" y="32873521"/>
          <a:chExt cx="4553084" cy="1792917"/>
        </a:xfrm>
      </xdr:grpSpPr>
      <xdr:pic>
        <xdr:nvPicPr>
          <xdr:cNvPr id="353" name="Imagem 352">
            <a:extLst>
              <a:ext uri="{FF2B5EF4-FFF2-40B4-BE49-F238E27FC236}">
                <a16:creationId xmlns:a16="http://schemas.microsoft.com/office/drawing/2014/main" id="{00000000-0008-0000-0400-00006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7653377" y="32873521"/>
            <a:ext cx="4553084" cy="1792917"/>
          </a:xfrm>
          <a:prstGeom prst="rect">
            <a:avLst/>
          </a:prstGeom>
        </xdr:spPr>
      </xdr:pic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GrpSpPr/>
        </xdr:nvGrpSpPr>
        <xdr:grpSpPr>
          <a:xfrm>
            <a:off x="7993081" y="33179905"/>
            <a:ext cx="3889693" cy="1171854"/>
            <a:chOff x="7993081" y="33179905"/>
            <a:chExt cx="3889693" cy="1171854"/>
          </a:xfrm>
        </xdr:grpSpPr>
        <xdr:sp macro="" textlink="AXB!$G$104">
          <xdr:nvSpPr>
            <xdr:cNvPr id="155" name="Retângulo 154">
              <a:extLst>
                <a:ext uri="{FF2B5EF4-FFF2-40B4-BE49-F238E27FC236}">
                  <a16:creationId xmlns:a16="http://schemas.microsoft.com/office/drawing/2014/main" id="{00000000-0008-0000-0400-00009B000000}"/>
                </a:ext>
              </a:extLst>
            </xdr:cNvPr>
            <xdr:cNvSpPr/>
          </xdr:nvSpPr>
          <xdr:spPr>
            <a:xfrm>
              <a:off x="8614897" y="34089624"/>
              <a:ext cx="661747" cy="26213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708E38BA-5383-41BB-B815-E38556FE9285}" type="TxLink">
                <a:rPr lang="en-US" sz="800" b="0" i="0" u="none" strike="noStrike">
                  <a:solidFill>
                    <a:srgbClr val="FFD966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23,7526</a:t>
              </a:fld>
              <a:endParaRPr lang="pt-BR" sz="100">
                <a:solidFill>
                  <a:srgbClr val="FFD966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3">
          <xdr:nvSpPr>
            <xdr:cNvPr id="158" name="Retângulo 157">
              <a:extLst>
                <a:ext uri="{FF2B5EF4-FFF2-40B4-BE49-F238E27FC236}">
                  <a16:creationId xmlns:a16="http://schemas.microsoft.com/office/drawing/2014/main" id="{00000000-0008-0000-0400-00009E000000}"/>
                </a:ext>
              </a:extLst>
            </xdr:cNvPr>
            <xdr:cNvSpPr/>
          </xdr:nvSpPr>
          <xdr:spPr>
            <a:xfrm rot="19729493">
              <a:off x="7993081" y="33803593"/>
              <a:ext cx="605938" cy="25568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8E7C18A8-C95F-44DE-AA5F-1DB01BAB7253}" type="TxLink">
                <a:rPr lang="en-US" sz="800" b="0" i="0" u="none" strike="noStrike">
                  <a:solidFill>
                    <a:srgbClr val="FD3F0B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24,8101</a:t>
              </a:fld>
              <a:endParaRPr lang="pt-BR" sz="100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6">
          <xdr:nvSpPr>
            <xdr:cNvPr id="250" name="Retângulo 249">
              <a:extLst>
                <a:ext uri="{FF2B5EF4-FFF2-40B4-BE49-F238E27FC236}">
                  <a16:creationId xmlns:a16="http://schemas.microsoft.com/office/drawing/2014/main" id="{00000000-0008-0000-0400-0000FA000000}"/>
                </a:ext>
              </a:extLst>
            </xdr:cNvPr>
            <xdr:cNvSpPr/>
          </xdr:nvSpPr>
          <xdr:spPr>
            <a:xfrm rot="19729493">
              <a:off x="9088280" y="33179905"/>
              <a:ext cx="605205" cy="25568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C1709B9E-C586-440F-9D26-4CE092B3DAC2}" type="TxLink">
                <a:rPr lang="en-US" sz="800" b="0" i="0" u="none" strike="noStrike">
                  <a:solidFill>
                    <a:srgbClr val="FD3F0B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16,5401</a:t>
              </a:fld>
              <a:endParaRPr lang="pt-BR" sz="100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5">
          <xdr:nvSpPr>
            <xdr:cNvPr id="259" name="Retângulo 258">
              <a:extLst>
                <a:ext uri="{FF2B5EF4-FFF2-40B4-BE49-F238E27FC236}">
                  <a16:creationId xmlns:a16="http://schemas.microsoft.com/office/drawing/2014/main" id="{00000000-0008-0000-0400-000003010000}"/>
                </a:ext>
              </a:extLst>
            </xdr:cNvPr>
            <xdr:cNvSpPr/>
          </xdr:nvSpPr>
          <xdr:spPr>
            <a:xfrm rot="1870507" flipH="1">
              <a:off x="9237905" y="33795328"/>
              <a:ext cx="550843" cy="25568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78A1C8EB-5254-4EE1-974A-0C545B69F456}" type="TxLink">
                <a:rPr lang="en-US" sz="800" b="0" i="0" u="none" strike="noStrike">
                  <a:solidFill>
                    <a:srgbClr val="FD3F0B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8,2700</a:t>
              </a:fld>
              <a:endParaRPr lang="pt-BR" sz="100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7">
          <xdr:nvSpPr>
            <xdr:cNvPr id="262" name="Retângulo 261">
              <a:extLst>
                <a:ext uri="{FF2B5EF4-FFF2-40B4-BE49-F238E27FC236}">
                  <a16:creationId xmlns:a16="http://schemas.microsoft.com/office/drawing/2014/main" id="{00000000-0008-0000-0400-000006010000}"/>
                </a:ext>
              </a:extLst>
            </xdr:cNvPr>
            <xdr:cNvSpPr/>
          </xdr:nvSpPr>
          <xdr:spPr>
            <a:xfrm rot="16200000">
              <a:off x="9506534" y="33615728"/>
              <a:ext cx="575106" cy="245103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8602D32B-E153-4D98-BFDA-4ADDAEE03F14}" type="TxLink">
                <a:rPr lang="en-US" sz="800" b="0" i="0" u="none" strike="noStrike">
                  <a:solidFill>
                    <a:srgbClr val="FFD966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4,7774</a:t>
              </a:fld>
              <a:endParaRPr lang="pt-BR" sz="100">
                <a:solidFill>
                  <a:srgbClr val="FFD966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4">
          <xdr:nvSpPr>
            <xdr:cNvPr id="264" name="Retângulo 263">
              <a:extLst>
                <a:ext uri="{FF2B5EF4-FFF2-40B4-BE49-F238E27FC236}">
                  <a16:creationId xmlns:a16="http://schemas.microsoft.com/office/drawing/2014/main" id="{00000000-0008-0000-0400-000008010000}"/>
                </a:ext>
              </a:extLst>
            </xdr:cNvPr>
            <xdr:cNvSpPr/>
          </xdr:nvSpPr>
          <xdr:spPr>
            <a:xfrm>
              <a:off x="10625823" y="34089624"/>
              <a:ext cx="661512" cy="26213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708E38BA-5383-41BB-B815-E38556FE9285}" type="TxLink">
                <a:rPr lang="en-US" sz="800" b="0" i="0" u="none" strike="noStrike">
                  <a:solidFill>
                    <a:srgbClr val="FFD966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23,7526</a:t>
              </a:fld>
              <a:endParaRPr lang="pt-BR" sz="100">
                <a:solidFill>
                  <a:srgbClr val="FFD966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3">
          <xdr:nvSpPr>
            <xdr:cNvPr id="265" name="Retângulo 264">
              <a:extLst>
                <a:ext uri="{FF2B5EF4-FFF2-40B4-BE49-F238E27FC236}">
                  <a16:creationId xmlns:a16="http://schemas.microsoft.com/office/drawing/2014/main" id="{00000000-0008-0000-0400-000009010000}"/>
                </a:ext>
              </a:extLst>
            </xdr:cNvPr>
            <xdr:cNvSpPr/>
          </xdr:nvSpPr>
          <xdr:spPr>
            <a:xfrm rot="1870507" flipH="1">
              <a:off x="11186612" y="33803593"/>
              <a:ext cx="696162" cy="25568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8E7C18A8-C95F-44DE-AA5F-1DB01BAB7253}" type="TxLink">
                <a:rPr lang="en-US" sz="800" b="0" i="0" u="none" strike="noStrike">
                  <a:solidFill>
                    <a:srgbClr val="FD3F0B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24,8101</a:t>
              </a:fld>
              <a:endParaRPr lang="pt-BR" sz="100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5">
          <xdr:nvSpPr>
            <xdr:cNvPr id="266" name="Retângulo 265">
              <a:extLst>
                <a:ext uri="{FF2B5EF4-FFF2-40B4-BE49-F238E27FC236}">
                  <a16:creationId xmlns:a16="http://schemas.microsoft.com/office/drawing/2014/main" id="{00000000-0008-0000-0400-00000A010000}"/>
                </a:ext>
              </a:extLst>
            </xdr:cNvPr>
            <xdr:cNvSpPr/>
          </xdr:nvSpPr>
          <xdr:spPr>
            <a:xfrm rot="19729493">
              <a:off x="10066334" y="33785475"/>
              <a:ext cx="562848" cy="275392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78A1C8EB-5254-4EE1-974A-0C545B69F456}" type="TxLink">
                <a:rPr lang="en-US" sz="800" b="0" i="0" u="none" strike="noStrike">
                  <a:solidFill>
                    <a:srgbClr val="FD3F0B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8,2700</a:t>
              </a:fld>
              <a:endParaRPr lang="pt-BR" sz="100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AXB!$G$106">
          <xdr:nvSpPr>
            <xdr:cNvPr id="267" name="Retângulo 266">
              <a:extLst>
                <a:ext uri="{FF2B5EF4-FFF2-40B4-BE49-F238E27FC236}">
                  <a16:creationId xmlns:a16="http://schemas.microsoft.com/office/drawing/2014/main" id="{00000000-0008-0000-0400-00000B010000}"/>
                </a:ext>
              </a:extLst>
            </xdr:cNvPr>
            <xdr:cNvSpPr/>
          </xdr:nvSpPr>
          <xdr:spPr>
            <a:xfrm rot="1870507" flipH="1">
              <a:off x="10233153" y="33185269"/>
              <a:ext cx="629455" cy="2753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C1709B9E-C586-440F-9D26-4CE092B3DAC2}" type="TxLink">
                <a:rPr lang="en-US" sz="800" b="0" i="0" u="none" strike="noStrike">
                  <a:solidFill>
                    <a:srgbClr val="FD3F0B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pPr algn="ctr"/>
                <a:t>16,5401</a:t>
              </a:fld>
              <a:endParaRPr lang="pt-BR" sz="100">
                <a:solidFill>
                  <a:srgbClr val="FD3F0B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9</xdr:col>
      <xdr:colOff>914400</xdr:colOff>
      <xdr:row>44</xdr:row>
      <xdr:rowOff>176006</xdr:rowOff>
    </xdr:from>
    <xdr:to>
      <xdr:col>14</xdr:col>
      <xdr:colOff>1656</xdr:colOff>
      <xdr:row>51</xdr:row>
      <xdr:rowOff>8283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962900" y="9167606"/>
          <a:ext cx="3497331" cy="1299127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911678</xdr:colOff>
      <xdr:row>86</xdr:row>
      <xdr:rowOff>185165</xdr:rowOff>
    </xdr:from>
    <xdr:to>
      <xdr:col>14</xdr:col>
      <xdr:colOff>21980</xdr:colOff>
      <xdr:row>93</xdr:row>
      <xdr:rowOff>12215</xdr:rowOff>
    </xdr:to>
    <xdr:sp macro="" textlink="">
      <xdr:nvSpPr>
        <xdr:cNvPr id="133" name="Retângulo: Cantos Arredondados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7960178" y="17977865"/>
          <a:ext cx="3520377" cy="1332000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828676</xdr:colOff>
      <xdr:row>195</xdr:row>
      <xdr:rowOff>182440</xdr:rowOff>
    </xdr:from>
    <xdr:to>
      <xdr:col>16</xdr:col>
      <xdr:colOff>2176</xdr:colOff>
      <xdr:row>204</xdr:row>
      <xdr:rowOff>9525</xdr:rowOff>
    </xdr:to>
    <xdr:sp macro="" textlink="">
      <xdr:nvSpPr>
        <xdr:cNvPr id="285" name="Retângulo: Cantos Arredondados 284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/>
      </xdr:nvSpPr>
      <xdr:spPr>
        <a:xfrm>
          <a:off x="1548589" y="41749097"/>
          <a:ext cx="11556000" cy="1721009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828676</xdr:colOff>
      <xdr:row>213</xdr:row>
      <xdr:rowOff>182440</xdr:rowOff>
    </xdr:from>
    <xdr:to>
      <xdr:col>16</xdr:col>
      <xdr:colOff>2176</xdr:colOff>
      <xdr:row>222</xdr:row>
      <xdr:rowOff>15875</xdr:rowOff>
    </xdr:to>
    <xdr:sp macro="" textlink="">
      <xdr:nvSpPr>
        <xdr:cNvPr id="286" name="Retângulo: Cantos Arredondados 285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/>
      </xdr:nvSpPr>
      <xdr:spPr>
        <a:xfrm>
          <a:off x="1548589" y="45536946"/>
          <a:ext cx="11556000" cy="1727359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849922</xdr:colOff>
      <xdr:row>222</xdr:row>
      <xdr:rowOff>169704</xdr:rowOff>
    </xdr:from>
    <xdr:to>
      <xdr:col>12</xdr:col>
      <xdr:colOff>783981</xdr:colOff>
      <xdr:row>230</xdr:row>
      <xdr:rowOff>25731</xdr:rowOff>
    </xdr:to>
    <xdr:sp macro="" textlink="">
      <xdr:nvSpPr>
        <xdr:cNvPr id="288" name="Retângulo: Cantos Arredondados 287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/>
      </xdr:nvSpPr>
      <xdr:spPr>
        <a:xfrm>
          <a:off x="1569835" y="47418134"/>
          <a:ext cx="8938506" cy="1495213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828676</xdr:colOff>
      <xdr:row>204</xdr:row>
      <xdr:rowOff>182440</xdr:rowOff>
    </xdr:from>
    <xdr:to>
      <xdr:col>16</xdr:col>
      <xdr:colOff>2176</xdr:colOff>
      <xdr:row>213</xdr:row>
      <xdr:rowOff>0</xdr:rowOff>
    </xdr:to>
    <xdr:sp macro="" textlink="">
      <xdr:nvSpPr>
        <xdr:cNvPr id="289" name="Retângulo: Cantos Arredondados 288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/>
      </xdr:nvSpPr>
      <xdr:spPr>
        <a:xfrm>
          <a:off x="1548589" y="43643021"/>
          <a:ext cx="11556000" cy="1711485"/>
        </a:xfrm>
        <a:prstGeom prst="roundRect">
          <a:avLst>
            <a:gd name="adj" fmla="val 5599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400487</xdr:colOff>
      <xdr:row>70</xdr:row>
      <xdr:rowOff>9944</xdr:rowOff>
    </xdr:from>
    <xdr:to>
      <xdr:col>11</xdr:col>
      <xdr:colOff>130643</xdr:colOff>
      <xdr:row>71</xdr:row>
      <xdr:rowOff>1350</xdr:rowOff>
    </xdr:to>
    <xdr:sp macro="" textlink="$L$63">
      <xdr:nvSpPr>
        <xdr:cNvPr id="111" name="Retângulo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8381780" y="14494513"/>
          <a:ext cx="597260" cy="20161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2863A846-C50C-4B01-B723-BC98C20EBB42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0,5010 kN/m</a:t>
          </a:fld>
          <a:endParaRPr lang="pt-BR" sz="2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11</xdr:col>
      <xdr:colOff>177074</xdr:colOff>
      <xdr:row>69</xdr:row>
      <xdr:rowOff>59648</xdr:rowOff>
    </xdr:from>
    <xdr:to>
      <xdr:col>11</xdr:col>
      <xdr:colOff>736254</xdr:colOff>
      <xdr:row>70</xdr:row>
      <xdr:rowOff>51054</xdr:rowOff>
    </xdr:to>
    <xdr:sp macro="" textlink="$L$60">
      <xdr:nvSpPr>
        <xdr:cNvPr id="112" name="Retângulo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9017247" y="14232431"/>
          <a:ext cx="559180" cy="1999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E55A6F8-EB7E-4A7B-A5A9-1244857F9DDC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0,9574 kN/m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11</xdr:col>
      <xdr:colOff>186828</xdr:colOff>
      <xdr:row>72</xdr:row>
      <xdr:rowOff>109250</xdr:rowOff>
    </xdr:from>
    <xdr:to>
      <xdr:col>11</xdr:col>
      <xdr:colOff>726501</xdr:colOff>
      <xdr:row>73</xdr:row>
      <xdr:rowOff>103150</xdr:rowOff>
    </xdr:to>
    <xdr:sp macro="" textlink="DSB!I29">
      <xdr:nvSpPr>
        <xdr:cNvPr id="110" name="Retângulo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9027001" y="14907763"/>
          <a:ext cx="539673" cy="2024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58A5F4E1-7FDB-4FA1-AB7F-43D364641544}" type="TxLink">
            <a:rPr lang="en-US" sz="800" b="0" i="0" u="none" strike="noStrike">
              <a:solidFill>
                <a:srgbClr val="F7B163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1,54 m</a:t>
          </a:fld>
          <a:endParaRPr lang="pt-BR" sz="100">
            <a:solidFill>
              <a:srgbClr val="F7B163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0</xdr:colOff>
      <xdr:row>2</xdr:row>
      <xdr:rowOff>123477</xdr:rowOff>
    </xdr:to>
    <xdr:grpSp>
      <xdr:nvGrpSpPr>
        <xdr:cNvPr id="356" name="Agrupar 355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GrpSpPr/>
      </xdr:nvGrpSpPr>
      <xdr:grpSpPr>
        <a:xfrm>
          <a:off x="0" y="0"/>
          <a:ext cx="20878800" cy="451137"/>
          <a:chOff x="0" y="0"/>
          <a:chExt cx="20288250" cy="456852"/>
        </a:xfrm>
      </xdr:grpSpPr>
      <xdr:sp macro="" textlink="">
        <xdr:nvSpPr>
          <xdr:cNvPr id="357" name="Retângulo 356">
            <a:extLst>
              <a:ext uri="{FF2B5EF4-FFF2-40B4-BE49-F238E27FC236}">
                <a16:creationId xmlns:a16="http://schemas.microsoft.com/office/drawing/2014/main" id="{00000000-0008-0000-0400-000065010000}"/>
              </a:ext>
            </a:extLst>
          </xdr:cNvPr>
          <xdr:cNvSpPr/>
        </xdr:nvSpPr>
        <xdr:spPr>
          <a:xfrm>
            <a:off x="0" y="0"/>
            <a:ext cx="20288250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58" name="Retângulo: Cantos Arredondados 357">
            <a:extLst>
              <a:ext uri="{FF2B5EF4-FFF2-40B4-BE49-F238E27FC236}">
                <a16:creationId xmlns:a16="http://schemas.microsoft.com/office/drawing/2014/main" id="{00000000-0008-0000-0400-000066010000}"/>
              </a:ext>
            </a:extLst>
          </xdr:cNvPr>
          <xdr:cNvSpPr/>
        </xdr:nvSpPr>
        <xdr:spPr>
          <a:xfrm>
            <a:off x="3333041" y="126568"/>
            <a:ext cx="45919" cy="243680"/>
          </a:xfrm>
          <a:prstGeom prst="roundRect">
            <a:avLst>
              <a:gd name="adj" fmla="val 50000"/>
            </a:avLst>
          </a:prstGeom>
          <a:solidFill>
            <a:schemeClr val="tx1">
              <a:alpha val="2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endParaRPr lang="pt-BR" sz="1100">
              <a:solidFill>
                <a:schemeClr val="lt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grpSp>
        <xdr:nvGrpSpPr>
          <xdr:cNvPr id="359" name="Agrupar 358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0000000-0008-0000-0400-000067010000}"/>
              </a:ext>
            </a:extLst>
          </xdr:cNvPr>
          <xdr:cNvGrpSpPr/>
        </xdr:nvGrpSpPr>
        <xdr:grpSpPr>
          <a:xfrm>
            <a:off x="5252438" y="123825"/>
            <a:ext cx="1165435" cy="243701"/>
            <a:chOff x="3341571" y="88944"/>
            <a:chExt cx="1169375" cy="243701"/>
          </a:xfrm>
        </xdr:grpSpPr>
        <xdr:sp macro="" textlink="">
          <xdr:nvSpPr>
            <xdr:cNvPr id="382" name="Retângulo: Cantos Arredondados 381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00000000-0008-0000-0400-00007E010000}"/>
                </a:ext>
              </a:extLst>
            </xdr:cNvPr>
            <xdr:cNvSpPr/>
          </xdr:nvSpPr>
          <xdr:spPr>
            <a:xfrm>
              <a:off x="3341571" y="88944"/>
              <a:ext cx="1169375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algn="ctr"/>
              <a:r>
                <a:rPr lang="pt-BR" sz="110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Resistência</a:t>
              </a:r>
              <a:r>
                <a:rPr lang="pt-BR" sz="1100" baseline="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 </a:t>
              </a:r>
              <a:endParaRPr lang="pt-BR" sz="1100"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83" name="Forma Livre: Forma 382">
              <a:extLst>
                <a:ext uri="{FF2B5EF4-FFF2-40B4-BE49-F238E27FC236}">
                  <a16:creationId xmlns:a16="http://schemas.microsoft.com/office/drawing/2014/main" id="{00000000-0008-0000-0400-00007F010000}"/>
                </a:ext>
              </a:extLst>
            </xdr:cNvPr>
            <xdr:cNvSpPr>
              <a:spLocks noChangeAspect="1"/>
            </xdr:cNvSpPr>
          </xdr:nvSpPr>
          <xdr:spPr>
            <a:xfrm>
              <a:off x="3386968" y="120794"/>
              <a:ext cx="152261" cy="180000"/>
            </a:xfrm>
            <a:custGeom>
              <a:avLst/>
              <a:gdLst>
                <a:gd name="connsiteX0" fmla="*/ 2054694 w 2887985"/>
                <a:gd name="connsiteY0" fmla="*/ 1117429 h 3390900"/>
                <a:gd name="connsiteX1" fmla="*/ 2229809 w 2887985"/>
                <a:gd name="connsiteY1" fmla="*/ 1292544 h 3390900"/>
                <a:gd name="connsiteX2" fmla="*/ 1180556 w 2887985"/>
                <a:gd name="connsiteY2" fmla="*/ 2341796 h 3390900"/>
                <a:gd name="connsiteX3" fmla="*/ 640894 w 2887985"/>
                <a:gd name="connsiteY3" fmla="*/ 1802134 h 3390900"/>
                <a:gd name="connsiteX4" fmla="*/ 816009 w 2887985"/>
                <a:gd name="connsiteY4" fmla="*/ 1627019 h 3390900"/>
                <a:gd name="connsiteX5" fmla="*/ 1180556 w 2887985"/>
                <a:gd name="connsiteY5" fmla="*/ 1991566 h 3390900"/>
                <a:gd name="connsiteX6" fmla="*/ 1447238 w 2887985"/>
                <a:gd name="connsiteY6" fmla="*/ 252005 h 3390900"/>
                <a:gd name="connsiteX7" fmla="*/ 221121 w 2887985"/>
                <a:gd name="connsiteY7" fmla="*/ 673686 h 3390900"/>
                <a:gd name="connsiteX8" fmla="*/ 214633 w 2887985"/>
                <a:gd name="connsiteY8" fmla="*/ 1854391 h 3390900"/>
                <a:gd name="connsiteX9" fmla="*/ 1434263 w 2887985"/>
                <a:gd name="connsiteY9" fmla="*/ 3138895 h 3390900"/>
                <a:gd name="connsiteX10" fmla="*/ 2673355 w 2887985"/>
                <a:gd name="connsiteY10" fmla="*/ 1854391 h 3390900"/>
                <a:gd name="connsiteX11" fmla="*/ 2673355 w 2887985"/>
                <a:gd name="connsiteY11" fmla="*/ 686660 h 3390900"/>
                <a:gd name="connsiteX12" fmla="*/ 1447805 w 2887985"/>
                <a:gd name="connsiteY12" fmla="*/ 0 h 3390900"/>
                <a:gd name="connsiteX13" fmla="*/ 2887985 w 2887985"/>
                <a:gd name="connsiteY13" fmla="*/ 510540 h 3390900"/>
                <a:gd name="connsiteX14" fmla="*/ 2887985 w 2887985"/>
                <a:gd name="connsiteY14" fmla="*/ 1882140 h 3390900"/>
                <a:gd name="connsiteX15" fmla="*/ 1432565 w 2887985"/>
                <a:gd name="connsiteY15" fmla="*/ 3390900 h 3390900"/>
                <a:gd name="connsiteX16" fmla="*/ 5 w 2887985"/>
                <a:gd name="connsiteY16" fmla="*/ 1882140 h 3390900"/>
                <a:gd name="connsiteX17" fmla="*/ 7625 w 2887985"/>
                <a:gd name="connsiteY17" fmla="*/ 495300 h 33909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87985" h="3390900">
                  <a:moveTo>
                    <a:pt x="2054694" y="1117429"/>
                  </a:moveTo>
                  <a:lnTo>
                    <a:pt x="2229809" y="1292544"/>
                  </a:lnTo>
                  <a:lnTo>
                    <a:pt x="1180556" y="2341796"/>
                  </a:lnTo>
                  <a:lnTo>
                    <a:pt x="640894" y="1802134"/>
                  </a:lnTo>
                  <a:lnTo>
                    <a:pt x="816009" y="1627019"/>
                  </a:lnTo>
                  <a:lnTo>
                    <a:pt x="1180556" y="1991566"/>
                  </a:lnTo>
                  <a:close/>
                  <a:moveTo>
                    <a:pt x="1447238" y="252005"/>
                  </a:moveTo>
                  <a:lnTo>
                    <a:pt x="221121" y="673686"/>
                  </a:lnTo>
                  <a:lnTo>
                    <a:pt x="214633" y="1854391"/>
                  </a:lnTo>
                  <a:cubicBezTo>
                    <a:pt x="212471" y="2723702"/>
                    <a:pt x="1177741" y="3035096"/>
                    <a:pt x="1434263" y="3138895"/>
                  </a:cubicBezTo>
                  <a:cubicBezTo>
                    <a:pt x="1689162" y="3039151"/>
                    <a:pt x="2669030" y="2710727"/>
                    <a:pt x="2673355" y="1854391"/>
                  </a:cubicBezTo>
                  <a:lnTo>
                    <a:pt x="2673355" y="686660"/>
                  </a:lnTo>
                  <a:close/>
                  <a:moveTo>
                    <a:pt x="1447805" y="0"/>
                  </a:moveTo>
                  <a:lnTo>
                    <a:pt x="2887985" y="510540"/>
                  </a:lnTo>
                  <a:lnTo>
                    <a:pt x="2887985" y="1882140"/>
                  </a:lnTo>
                  <a:cubicBezTo>
                    <a:pt x="2882905" y="2887980"/>
                    <a:pt x="1731966" y="3273742"/>
                    <a:pt x="1432565" y="3390900"/>
                  </a:cubicBezTo>
                  <a:cubicBezTo>
                    <a:pt x="1131258" y="3268979"/>
                    <a:pt x="-2535" y="2903220"/>
                    <a:pt x="5" y="1882140"/>
                  </a:cubicBezTo>
                  <a:lnTo>
                    <a:pt x="7625" y="495300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noFill/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60" name="Agrupar 359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00000000-0008-0000-0400-000068010000}"/>
              </a:ext>
            </a:extLst>
          </xdr:cNvPr>
          <xdr:cNvGrpSpPr/>
        </xdr:nvGrpSpPr>
        <xdr:grpSpPr>
          <a:xfrm>
            <a:off x="3901291" y="123825"/>
            <a:ext cx="1105113" cy="243701"/>
            <a:chOff x="3573869" y="104252"/>
            <a:chExt cx="1105394" cy="243701"/>
          </a:xfrm>
        </xdr:grpSpPr>
        <xdr:sp macro="" textlink="">
          <xdr:nvSpPr>
            <xdr:cNvPr id="380" name="Retângulo: Cantos Arredondados 379">
              <a:hlinkClick xmlns:r="http://schemas.openxmlformats.org/officeDocument/2006/relationships" r:id="rId17"/>
              <a:extLst>
                <a:ext uri="{FF2B5EF4-FFF2-40B4-BE49-F238E27FC236}">
                  <a16:creationId xmlns:a16="http://schemas.microsoft.com/office/drawing/2014/main" id="{00000000-0008-0000-0400-00007C010000}"/>
                </a:ext>
              </a:extLst>
            </xdr:cNvPr>
            <xdr:cNvSpPr/>
          </xdr:nvSpPr>
          <xdr:spPr>
            <a:xfrm>
              <a:off x="3573869" y="104252"/>
              <a:ext cx="1105394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Dashboard</a:t>
              </a:r>
            </a:p>
          </xdr:txBody>
        </xdr:sp>
        <xdr:sp macro="" textlink="">
          <xdr:nvSpPr>
            <xdr:cNvPr id="381" name="Forma Livre: Forma 380">
              <a:extLst>
                <a:ext uri="{FF2B5EF4-FFF2-40B4-BE49-F238E27FC236}">
                  <a16:creationId xmlns:a16="http://schemas.microsoft.com/office/drawing/2014/main" id="{00000000-0008-0000-0400-00007D010000}"/>
                </a:ext>
              </a:extLst>
            </xdr:cNvPr>
            <xdr:cNvSpPr>
              <a:spLocks noChangeAspect="1"/>
            </xdr:cNvSpPr>
          </xdr:nvSpPr>
          <xdr:spPr>
            <a:xfrm>
              <a:off x="3652639" y="154102"/>
              <a:ext cx="142888" cy="144000"/>
            </a:xfrm>
            <a:custGeom>
              <a:avLst/>
              <a:gdLst>
                <a:gd name="connsiteX0" fmla="*/ 175440 w 3076156"/>
                <a:gd name="connsiteY0" fmla="*/ 2044504 h 3097121"/>
                <a:gd name="connsiteX1" fmla="*/ 1120088 w 3076156"/>
                <a:gd name="connsiteY1" fmla="*/ 2044504 h 3097121"/>
                <a:gd name="connsiteX2" fmla="*/ 1295528 w 3076156"/>
                <a:gd name="connsiteY2" fmla="*/ 2219944 h 3097121"/>
                <a:gd name="connsiteX3" fmla="*/ 1295528 w 3076156"/>
                <a:gd name="connsiteY3" fmla="*/ 2921681 h 3097121"/>
                <a:gd name="connsiteX4" fmla="*/ 1120088 w 3076156"/>
                <a:gd name="connsiteY4" fmla="*/ 3097121 h 3097121"/>
                <a:gd name="connsiteX5" fmla="*/ 175440 w 3076156"/>
                <a:gd name="connsiteY5" fmla="*/ 3097121 h 3097121"/>
                <a:gd name="connsiteX6" fmla="*/ 0 w 3076156"/>
                <a:gd name="connsiteY6" fmla="*/ 2921681 h 3097121"/>
                <a:gd name="connsiteX7" fmla="*/ 0 w 3076156"/>
                <a:gd name="connsiteY7" fmla="*/ 2219944 h 3097121"/>
                <a:gd name="connsiteX8" fmla="*/ 175440 w 3076156"/>
                <a:gd name="connsiteY8" fmla="*/ 2044504 h 3097121"/>
                <a:gd name="connsiteX9" fmla="*/ 1996554 w 3076156"/>
                <a:gd name="connsiteY9" fmla="*/ 1543499 h 3097121"/>
                <a:gd name="connsiteX10" fmla="*/ 2860230 w 3076156"/>
                <a:gd name="connsiteY10" fmla="*/ 1543499 h 3097121"/>
                <a:gd name="connsiteX11" fmla="*/ 3076156 w 3076156"/>
                <a:gd name="connsiteY11" fmla="*/ 1759425 h 3097121"/>
                <a:gd name="connsiteX12" fmla="*/ 3076156 w 3076156"/>
                <a:gd name="connsiteY12" fmla="*/ 2881195 h 3097121"/>
                <a:gd name="connsiteX13" fmla="*/ 2860230 w 3076156"/>
                <a:gd name="connsiteY13" fmla="*/ 3097121 h 3097121"/>
                <a:gd name="connsiteX14" fmla="*/ 1996554 w 3076156"/>
                <a:gd name="connsiteY14" fmla="*/ 3097121 h 3097121"/>
                <a:gd name="connsiteX15" fmla="*/ 1780628 w 3076156"/>
                <a:gd name="connsiteY15" fmla="*/ 2881195 h 3097121"/>
                <a:gd name="connsiteX16" fmla="*/ 1780628 w 3076156"/>
                <a:gd name="connsiteY16" fmla="*/ 1759425 h 3097121"/>
                <a:gd name="connsiteX17" fmla="*/ 1996554 w 3076156"/>
                <a:gd name="connsiteY17" fmla="*/ 1543499 h 3097121"/>
                <a:gd name="connsiteX18" fmla="*/ 1956068 w 3076156"/>
                <a:gd name="connsiteY18" fmla="*/ 0 h 3097121"/>
                <a:gd name="connsiteX19" fmla="*/ 2900716 w 3076156"/>
                <a:gd name="connsiteY19" fmla="*/ 0 h 3097121"/>
                <a:gd name="connsiteX20" fmla="*/ 3076156 w 3076156"/>
                <a:gd name="connsiteY20" fmla="*/ 175440 h 3097121"/>
                <a:gd name="connsiteX21" fmla="*/ 3076156 w 3076156"/>
                <a:gd name="connsiteY21" fmla="*/ 877177 h 3097121"/>
                <a:gd name="connsiteX22" fmla="*/ 2900716 w 3076156"/>
                <a:gd name="connsiteY22" fmla="*/ 1052617 h 3097121"/>
                <a:gd name="connsiteX23" fmla="*/ 1956068 w 3076156"/>
                <a:gd name="connsiteY23" fmla="*/ 1052617 h 3097121"/>
                <a:gd name="connsiteX24" fmla="*/ 1780628 w 3076156"/>
                <a:gd name="connsiteY24" fmla="*/ 877177 h 3097121"/>
                <a:gd name="connsiteX25" fmla="*/ 1780628 w 3076156"/>
                <a:gd name="connsiteY25" fmla="*/ 175440 h 3097121"/>
                <a:gd name="connsiteX26" fmla="*/ 1956068 w 3076156"/>
                <a:gd name="connsiteY26" fmla="*/ 0 h 3097121"/>
                <a:gd name="connsiteX27" fmla="*/ 215926 w 3076156"/>
                <a:gd name="connsiteY27" fmla="*/ 0 h 3097121"/>
                <a:gd name="connsiteX28" fmla="*/ 1079602 w 3076156"/>
                <a:gd name="connsiteY28" fmla="*/ 0 h 3097121"/>
                <a:gd name="connsiteX29" fmla="*/ 1295528 w 3076156"/>
                <a:gd name="connsiteY29" fmla="*/ 215926 h 3097121"/>
                <a:gd name="connsiteX30" fmla="*/ 1295528 w 3076156"/>
                <a:gd name="connsiteY30" fmla="*/ 1337696 h 3097121"/>
                <a:gd name="connsiteX31" fmla="*/ 1079602 w 3076156"/>
                <a:gd name="connsiteY31" fmla="*/ 1553622 h 3097121"/>
                <a:gd name="connsiteX32" fmla="*/ 215926 w 3076156"/>
                <a:gd name="connsiteY32" fmla="*/ 1553622 h 3097121"/>
                <a:gd name="connsiteX33" fmla="*/ 0 w 3076156"/>
                <a:gd name="connsiteY33" fmla="*/ 1337696 h 3097121"/>
                <a:gd name="connsiteX34" fmla="*/ 0 w 3076156"/>
                <a:gd name="connsiteY34" fmla="*/ 215926 h 3097121"/>
                <a:gd name="connsiteX35" fmla="*/ 215926 w 3076156"/>
                <a:gd name="connsiteY35" fmla="*/ 0 h 30971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</a:cxnLst>
              <a:rect l="l" t="t" r="r" b="b"/>
              <a:pathLst>
                <a:path w="3076156" h="3097121">
                  <a:moveTo>
                    <a:pt x="175440" y="2044504"/>
                  </a:moveTo>
                  <a:lnTo>
                    <a:pt x="1120088" y="2044504"/>
                  </a:lnTo>
                  <a:cubicBezTo>
                    <a:pt x="1216981" y="2044504"/>
                    <a:pt x="1295528" y="2123051"/>
                    <a:pt x="1295528" y="2219944"/>
                  </a:cubicBezTo>
                  <a:lnTo>
                    <a:pt x="1295528" y="2921681"/>
                  </a:lnTo>
                  <a:cubicBezTo>
                    <a:pt x="1295528" y="3018574"/>
                    <a:pt x="1216981" y="3097121"/>
                    <a:pt x="1120088" y="3097121"/>
                  </a:cubicBezTo>
                  <a:lnTo>
                    <a:pt x="175440" y="3097121"/>
                  </a:lnTo>
                  <a:cubicBezTo>
                    <a:pt x="78547" y="3097121"/>
                    <a:pt x="0" y="3018574"/>
                    <a:pt x="0" y="2921681"/>
                  </a:cubicBezTo>
                  <a:lnTo>
                    <a:pt x="0" y="2219944"/>
                  </a:lnTo>
                  <a:cubicBezTo>
                    <a:pt x="0" y="2123051"/>
                    <a:pt x="78547" y="2044504"/>
                    <a:pt x="175440" y="2044504"/>
                  </a:cubicBezTo>
                  <a:close/>
                  <a:moveTo>
                    <a:pt x="1996554" y="1543499"/>
                  </a:moveTo>
                  <a:lnTo>
                    <a:pt x="2860230" y="1543499"/>
                  </a:lnTo>
                  <a:cubicBezTo>
                    <a:pt x="2979483" y="1543499"/>
                    <a:pt x="3076156" y="1640172"/>
                    <a:pt x="3076156" y="1759425"/>
                  </a:cubicBezTo>
                  <a:lnTo>
                    <a:pt x="3076156" y="2881195"/>
                  </a:lnTo>
                  <a:cubicBezTo>
                    <a:pt x="3076156" y="3000448"/>
                    <a:pt x="2979483" y="3097121"/>
                    <a:pt x="2860230" y="3097121"/>
                  </a:cubicBezTo>
                  <a:lnTo>
                    <a:pt x="1996554" y="3097121"/>
                  </a:lnTo>
                  <a:cubicBezTo>
                    <a:pt x="1877301" y="3097121"/>
                    <a:pt x="1780628" y="3000448"/>
                    <a:pt x="1780628" y="2881195"/>
                  </a:cubicBezTo>
                  <a:lnTo>
                    <a:pt x="1780628" y="1759425"/>
                  </a:lnTo>
                  <a:cubicBezTo>
                    <a:pt x="1780628" y="1640172"/>
                    <a:pt x="1877301" y="1543499"/>
                    <a:pt x="1996554" y="1543499"/>
                  </a:cubicBezTo>
                  <a:close/>
                  <a:moveTo>
                    <a:pt x="1956068" y="0"/>
                  </a:moveTo>
                  <a:lnTo>
                    <a:pt x="2900716" y="0"/>
                  </a:lnTo>
                  <a:cubicBezTo>
                    <a:pt x="2997609" y="0"/>
                    <a:pt x="3076156" y="78547"/>
                    <a:pt x="3076156" y="175440"/>
                  </a:cubicBezTo>
                  <a:lnTo>
                    <a:pt x="3076156" y="877177"/>
                  </a:lnTo>
                  <a:cubicBezTo>
                    <a:pt x="3076156" y="974070"/>
                    <a:pt x="2997609" y="1052617"/>
                    <a:pt x="2900716" y="1052617"/>
                  </a:cubicBezTo>
                  <a:lnTo>
                    <a:pt x="1956068" y="1052617"/>
                  </a:lnTo>
                  <a:cubicBezTo>
                    <a:pt x="1859175" y="1052617"/>
                    <a:pt x="1780628" y="974070"/>
                    <a:pt x="1780628" y="877177"/>
                  </a:cubicBezTo>
                  <a:lnTo>
                    <a:pt x="1780628" y="175440"/>
                  </a:lnTo>
                  <a:cubicBezTo>
                    <a:pt x="1780628" y="78547"/>
                    <a:pt x="1859175" y="0"/>
                    <a:pt x="1956068" y="0"/>
                  </a:cubicBezTo>
                  <a:close/>
                  <a:moveTo>
                    <a:pt x="215926" y="0"/>
                  </a:moveTo>
                  <a:lnTo>
                    <a:pt x="1079602" y="0"/>
                  </a:lnTo>
                  <a:cubicBezTo>
                    <a:pt x="1198855" y="0"/>
                    <a:pt x="1295528" y="96673"/>
                    <a:pt x="1295528" y="215926"/>
                  </a:cubicBezTo>
                  <a:lnTo>
                    <a:pt x="1295528" y="1337696"/>
                  </a:lnTo>
                  <a:cubicBezTo>
                    <a:pt x="1295528" y="1456949"/>
                    <a:pt x="1198855" y="1553622"/>
                    <a:pt x="1079602" y="1553622"/>
                  </a:cubicBezTo>
                  <a:lnTo>
                    <a:pt x="215926" y="1553622"/>
                  </a:lnTo>
                  <a:cubicBezTo>
                    <a:pt x="96673" y="1553622"/>
                    <a:pt x="0" y="1456949"/>
                    <a:pt x="0" y="1337696"/>
                  </a:cubicBezTo>
                  <a:lnTo>
                    <a:pt x="0" y="215926"/>
                  </a:lnTo>
                  <a:cubicBezTo>
                    <a:pt x="0" y="96673"/>
                    <a:pt x="96673" y="0"/>
                    <a:pt x="215926" y="0"/>
                  </a:cubicBezTo>
                  <a:close/>
                </a:path>
              </a:pathLst>
            </a:custGeom>
            <a:solidFill>
              <a:sysClr val="window" lastClr="FFFFFF"/>
            </a:solidFill>
            <a:ln w="952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61" name="Agrupar 360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00000000-0008-0000-0400-000069010000}"/>
              </a:ext>
            </a:extLst>
          </xdr:cNvPr>
          <xdr:cNvGrpSpPr/>
        </xdr:nvGrpSpPr>
        <xdr:grpSpPr>
          <a:xfrm>
            <a:off x="6663907" y="123825"/>
            <a:ext cx="1323538" cy="243701"/>
            <a:chOff x="5650832" y="88944"/>
            <a:chExt cx="1329890" cy="243701"/>
          </a:xfrm>
        </xdr:grpSpPr>
        <xdr:sp macro="" textlink="">
          <xdr:nvSpPr>
            <xdr:cNvPr id="378" name="Retângulo: Cantos Arredondados 377">
              <a:hlinkClick xmlns:r="http://schemas.openxmlformats.org/officeDocument/2006/relationships" r:id="rId19"/>
              <a:extLst>
                <a:ext uri="{FF2B5EF4-FFF2-40B4-BE49-F238E27FC236}">
                  <a16:creationId xmlns:a16="http://schemas.microsoft.com/office/drawing/2014/main" id="{00000000-0008-0000-0400-00007A010000}"/>
                </a:ext>
              </a:extLst>
            </xdr:cNvPr>
            <xdr:cNvSpPr/>
          </xdr:nvSpPr>
          <xdr:spPr>
            <a:xfrm>
              <a:off x="5650832" y="88944"/>
              <a:ext cx="132989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Carregamentos</a:t>
              </a:r>
            </a:p>
          </xdr:txBody>
        </xdr:sp>
        <xdr:sp macro="" textlink="">
          <xdr:nvSpPr>
            <xdr:cNvPr id="379" name="Forma Livre: Forma 378">
              <a:extLst>
                <a:ext uri="{FF2B5EF4-FFF2-40B4-BE49-F238E27FC236}">
                  <a16:creationId xmlns:a16="http://schemas.microsoft.com/office/drawing/2014/main" id="{00000000-0008-0000-0400-00007B010000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5692742" y="120794"/>
              <a:ext cx="180000" cy="180000"/>
            </a:xfrm>
            <a:custGeom>
              <a:avLst/>
              <a:gdLst>
                <a:gd name="connsiteX0" fmla="*/ 2860562 w 4250871"/>
                <a:gd name="connsiteY0" fmla="*/ 3136711 h 4250873"/>
                <a:gd name="connsiteX1" fmla="*/ 2743390 w 4250871"/>
                <a:gd name="connsiteY1" fmla="*/ 3253883 h 4250873"/>
                <a:gd name="connsiteX2" fmla="*/ 1430254 w 4250871"/>
                <a:gd name="connsiteY2" fmla="*/ 3253883 h 4250873"/>
                <a:gd name="connsiteX3" fmla="*/ 1592348 w 4250871"/>
                <a:gd name="connsiteY3" fmla="*/ 3415977 h 4250873"/>
                <a:gd name="connsiteX4" fmla="*/ 1592348 w 4250871"/>
                <a:gd name="connsiteY4" fmla="*/ 3581683 h 4250873"/>
                <a:gd name="connsiteX5" fmla="*/ 1426642 w 4250871"/>
                <a:gd name="connsiteY5" fmla="*/ 3581683 h 4250873"/>
                <a:gd name="connsiteX6" fmla="*/ 1072656 w 4250871"/>
                <a:gd name="connsiteY6" fmla="*/ 3227696 h 4250873"/>
                <a:gd name="connsiteX7" fmla="*/ 1071717 w 4250871"/>
                <a:gd name="connsiteY7" fmla="*/ 3227127 h 4250873"/>
                <a:gd name="connsiteX8" fmla="*/ 1068045 w 4250871"/>
                <a:gd name="connsiteY8" fmla="*/ 3223086 h 4250873"/>
                <a:gd name="connsiteX9" fmla="*/ 1064523 w 4250871"/>
                <a:gd name="connsiteY9" fmla="*/ 3219563 h 4250873"/>
                <a:gd name="connsiteX10" fmla="*/ 1063649 w 4250871"/>
                <a:gd name="connsiteY10" fmla="*/ 3218248 h 4250873"/>
                <a:gd name="connsiteX11" fmla="*/ 1049089 w 4250871"/>
                <a:gd name="connsiteY11" fmla="*/ 3202223 h 4250873"/>
                <a:gd name="connsiteX12" fmla="*/ 1045750 w 4250871"/>
                <a:gd name="connsiteY12" fmla="*/ 3191293 h 4250873"/>
                <a:gd name="connsiteX13" fmla="*/ 1038784 w 4250871"/>
                <a:gd name="connsiteY13" fmla="*/ 3180802 h 4250873"/>
                <a:gd name="connsiteX14" fmla="*/ 1032182 w 4250871"/>
                <a:gd name="connsiteY14" fmla="*/ 3146874 h 4250873"/>
                <a:gd name="connsiteX15" fmla="*/ 1029077 w 4250871"/>
                <a:gd name="connsiteY15" fmla="*/ 3136711 h 4250873"/>
                <a:gd name="connsiteX16" fmla="*/ 1063396 w 4250871"/>
                <a:gd name="connsiteY16" fmla="*/ 3053858 h 4250873"/>
                <a:gd name="connsiteX17" fmla="*/ 1066851 w 4250871"/>
                <a:gd name="connsiteY17" fmla="*/ 3051529 h 4250873"/>
                <a:gd name="connsiteX18" fmla="*/ 1426642 w 4250871"/>
                <a:gd name="connsiteY18" fmla="*/ 2691737 h 4250873"/>
                <a:gd name="connsiteX19" fmla="*/ 1592348 w 4250871"/>
                <a:gd name="connsiteY19" fmla="*/ 2691737 h 4250873"/>
                <a:gd name="connsiteX20" fmla="*/ 1592348 w 4250871"/>
                <a:gd name="connsiteY20" fmla="*/ 2857443 h 4250873"/>
                <a:gd name="connsiteX21" fmla="*/ 1430252 w 4250871"/>
                <a:gd name="connsiteY21" fmla="*/ 3019539 h 4250873"/>
                <a:gd name="connsiteX22" fmla="*/ 2743390 w 4250871"/>
                <a:gd name="connsiteY22" fmla="*/ 3019539 h 4250873"/>
                <a:gd name="connsiteX23" fmla="*/ 2860562 w 4250871"/>
                <a:gd name="connsiteY23" fmla="*/ 3136711 h 4250873"/>
                <a:gd name="connsiteX24" fmla="*/ 2860562 w 4250871"/>
                <a:gd name="connsiteY24" fmla="*/ 2122041 h 4250873"/>
                <a:gd name="connsiteX25" fmla="*/ 2743390 w 4250871"/>
                <a:gd name="connsiteY25" fmla="*/ 2239213 h 4250873"/>
                <a:gd name="connsiteX26" fmla="*/ 1430254 w 4250871"/>
                <a:gd name="connsiteY26" fmla="*/ 2239213 h 4250873"/>
                <a:gd name="connsiteX27" fmla="*/ 1592348 w 4250871"/>
                <a:gd name="connsiteY27" fmla="*/ 2401307 h 4250873"/>
                <a:gd name="connsiteX28" fmla="*/ 1592348 w 4250871"/>
                <a:gd name="connsiteY28" fmla="*/ 2567013 h 4250873"/>
                <a:gd name="connsiteX29" fmla="*/ 1426642 w 4250871"/>
                <a:gd name="connsiteY29" fmla="*/ 2567013 h 4250873"/>
                <a:gd name="connsiteX30" fmla="*/ 1072656 w 4250871"/>
                <a:gd name="connsiteY30" fmla="*/ 2213026 h 4250873"/>
                <a:gd name="connsiteX31" fmla="*/ 1071717 w 4250871"/>
                <a:gd name="connsiteY31" fmla="*/ 2212457 h 4250873"/>
                <a:gd name="connsiteX32" fmla="*/ 1068045 w 4250871"/>
                <a:gd name="connsiteY32" fmla="*/ 2208416 h 4250873"/>
                <a:gd name="connsiteX33" fmla="*/ 1064523 w 4250871"/>
                <a:gd name="connsiteY33" fmla="*/ 2204893 h 4250873"/>
                <a:gd name="connsiteX34" fmla="*/ 1063649 w 4250871"/>
                <a:gd name="connsiteY34" fmla="*/ 2203578 h 4250873"/>
                <a:gd name="connsiteX35" fmla="*/ 1049089 w 4250871"/>
                <a:gd name="connsiteY35" fmla="*/ 2187553 h 4250873"/>
                <a:gd name="connsiteX36" fmla="*/ 1045750 w 4250871"/>
                <a:gd name="connsiteY36" fmla="*/ 2176623 h 4250873"/>
                <a:gd name="connsiteX37" fmla="*/ 1038784 w 4250871"/>
                <a:gd name="connsiteY37" fmla="*/ 2166132 h 4250873"/>
                <a:gd name="connsiteX38" fmla="*/ 1032182 w 4250871"/>
                <a:gd name="connsiteY38" fmla="*/ 2132204 h 4250873"/>
                <a:gd name="connsiteX39" fmla="*/ 1029077 w 4250871"/>
                <a:gd name="connsiteY39" fmla="*/ 2122041 h 4250873"/>
                <a:gd name="connsiteX40" fmla="*/ 1063396 w 4250871"/>
                <a:gd name="connsiteY40" fmla="*/ 2039188 h 4250873"/>
                <a:gd name="connsiteX41" fmla="*/ 1066851 w 4250871"/>
                <a:gd name="connsiteY41" fmla="*/ 2036859 h 4250873"/>
                <a:gd name="connsiteX42" fmla="*/ 1426642 w 4250871"/>
                <a:gd name="connsiteY42" fmla="*/ 1677067 h 4250873"/>
                <a:gd name="connsiteX43" fmla="*/ 1592348 w 4250871"/>
                <a:gd name="connsiteY43" fmla="*/ 1677067 h 4250873"/>
                <a:gd name="connsiteX44" fmla="*/ 1592348 w 4250871"/>
                <a:gd name="connsiteY44" fmla="*/ 1842773 h 4250873"/>
                <a:gd name="connsiteX45" fmla="*/ 1430252 w 4250871"/>
                <a:gd name="connsiteY45" fmla="*/ 2004869 h 4250873"/>
                <a:gd name="connsiteX46" fmla="*/ 2743390 w 4250871"/>
                <a:gd name="connsiteY46" fmla="*/ 2004869 h 4250873"/>
                <a:gd name="connsiteX47" fmla="*/ 2860562 w 4250871"/>
                <a:gd name="connsiteY47" fmla="*/ 2122041 h 4250873"/>
                <a:gd name="connsiteX48" fmla="*/ 2860562 w 4250871"/>
                <a:gd name="connsiteY48" fmla="*/ 1107371 h 4250873"/>
                <a:gd name="connsiteX49" fmla="*/ 2743390 w 4250871"/>
                <a:gd name="connsiteY49" fmla="*/ 1224543 h 4250873"/>
                <a:gd name="connsiteX50" fmla="*/ 1430254 w 4250871"/>
                <a:gd name="connsiteY50" fmla="*/ 1224543 h 4250873"/>
                <a:gd name="connsiteX51" fmla="*/ 1592348 w 4250871"/>
                <a:gd name="connsiteY51" fmla="*/ 1386637 h 4250873"/>
                <a:gd name="connsiteX52" fmla="*/ 1592348 w 4250871"/>
                <a:gd name="connsiteY52" fmla="*/ 1552343 h 4250873"/>
                <a:gd name="connsiteX53" fmla="*/ 1426642 w 4250871"/>
                <a:gd name="connsiteY53" fmla="*/ 1552343 h 4250873"/>
                <a:gd name="connsiteX54" fmla="*/ 1072656 w 4250871"/>
                <a:gd name="connsiteY54" fmla="*/ 1198356 h 4250873"/>
                <a:gd name="connsiteX55" fmla="*/ 1071717 w 4250871"/>
                <a:gd name="connsiteY55" fmla="*/ 1197787 h 4250873"/>
                <a:gd name="connsiteX56" fmla="*/ 1068045 w 4250871"/>
                <a:gd name="connsiteY56" fmla="*/ 1193746 h 4250873"/>
                <a:gd name="connsiteX57" fmla="*/ 1064523 w 4250871"/>
                <a:gd name="connsiteY57" fmla="*/ 1190223 h 4250873"/>
                <a:gd name="connsiteX58" fmla="*/ 1063649 w 4250871"/>
                <a:gd name="connsiteY58" fmla="*/ 1188908 h 4250873"/>
                <a:gd name="connsiteX59" fmla="*/ 1049089 w 4250871"/>
                <a:gd name="connsiteY59" fmla="*/ 1172883 h 4250873"/>
                <a:gd name="connsiteX60" fmla="*/ 1045750 w 4250871"/>
                <a:gd name="connsiteY60" fmla="*/ 1161953 h 4250873"/>
                <a:gd name="connsiteX61" fmla="*/ 1038784 w 4250871"/>
                <a:gd name="connsiteY61" fmla="*/ 1151462 h 4250873"/>
                <a:gd name="connsiteX62" fmla="*/ 1032182 w 4250871"/>
                <a:gd name="connsiteY62" fmla="*/ 1117534 h 4250873"/>
                <a:gd name="connsiteX63" fmla="*/ 1029077 w 4250871"/>
                <a:gd name="connsiteY63" fmla="*/ 1107371 h 4250873"/>
                <a:gd name="connsiteX64" fmla="*/ 1063396 w 4250871"/>
                <a:gd name="connsiteY64" fmla="*/ 1024518 h 4250873"/>
                <a:gd name="connsiteX65" fmla="*/ 1066851 w 4250871"/>
                <a:gd name="connsiteY65" fmla="*/ 1022189 h 4250873"/>
                <a:gd name="connsiteX66" fmla="*/ 1426642 w 4250871"/>
                <a:gd name="connsiteY66" fmla="*/ 662397 h 4250873"/>
                <a:gd name="connsiteX67" fmla="*/ 1592348 w 4250871"/>
                <a:gd name="connsiteY67" fmla="*/ 662397 h 4250873"/>
                <a:gd name="connsiteX68" fmla="*/ 1592348 w 4250871"/>
                <a:gd name="connsiteY68" fmla="*/ 828103 h 4250873"/>
                <a:gd name="connsiteX69" fmla="*/ 1430252 w 4250871"/>
                <a:gd name="connsiteY69" fmla="*/ 990199 h 4250873"/>
                <a:gd name="connsiteX70" fmla="*/ 2743390 w 4250871"/>
                <a:gd name="connsiteY70" fmla="*/ 990199 h 4250873"/>
                <a:gd name="connsiteX71" fmla="*/ 2860562 w 4250871"/>
                <a:gd name="connsiteY71" fmla="*/ 1107371 h 4250873"/>
                <a:gd name="connsiteX72" fmla="*/ 3334103 w 4250871"/>
                <a:gd name="connsiteY72" fmla="*/ 1052131 h 4250873"/>
                <a:gd name="connsiteX73" fmla="*/ 3334103 w 4250871"/>
                <a:gd name="connsiteY73" fmla="*/ 3191951 h 4250873"/>
                <a:gd name="connsiteX74" fmla="*/ 3216931 w 4250871"/>
                <a:gd name="connsiteY74" fmla="*/ 3309123 h 4250873"/>
                <a:gd name="connsiteX75" fmla="*/ 3099759 w 4250871"/>
                <a:gd name="connsiteY75" fmla="*/ 3191951 h 4250873"/>
                <a:gd name="connsiteX76" fmla="*/ 3099759 w 4250871"/>
                <a:gd name="connsiteY76" fmla="*/ 1052131 h 4250873"/>
                <a:gd name="connsiteX77" fmla="*/ 3216931 w 4250871"/>
                <a:gd name="connsiteY77" fmla="*/ 934959 h 4250873"/>
                <a:gd name="connsiteX78" fmla="*/ 3334103 w 4250871"/>
                <a:gd name="connsiteY78" fmla="*/ 1052131 h 4250873"/>
                <a:gd name="connsiteX79" fmla="*/ 3984408 w 4250871"/>
                <a:gd name="connsiteY79" fmla="*/ 2125436 h 4250873"/>
                <a:gd name="connsiteX80" fmla="*/ 2125437 w 4250871"/>
                <a:gd name="connsiteY80" fmla="*/ 266463 h 4250873"/>
                <a:gd name="connsiteX81" fmla="*/ 266465 w 4250871"/>
                <a:gd name="connsiteY81" fmla="*/ 2125435 h 4250873"/>
                <a:gd name="connsiteX82" fmla="*/ 2125437 w 4250871"/>
                <a:gd name="connsiteY82" fmla="*/ 3984408 h 4250873"/>
                <a:gd name="connsiteX83" fmla="*/ 3984408 w 4250871"/>
                <a:gd name="connsiteY83" fmla="*/ 2125436 h 4250873"/>
                <a:gd name="connsiteX84" fmla="*/ 4250871 w 4250871"/>
                <a:gd name="connsiteY84" fmla="*/ 2125437 h 4250873"/>
                <a:gd name="connsiteX85" fmla="*/ 2125436 w 4250871"/>
                <a:gd name="connsiteY85" fmla="*/ 4250873 h 4250873"/>
                <a:gd name="connsiteX86" fmla="*/ 0 w 4250871"/>
                <a:gd name="connsiteY86" fmla="*/ 2125436 h 4250873"/>
                <a:gd name="connsiteX87" fmla="*/ 2125436 w 4250871"/>
                <a:gd name="connsiteY87" fmla="*/ 0 h 4250873"/>
                <a:gd name="connsiteX88" fmla="*/ 4250871 w 4250871"/>
                <a:gd name="connsiteY88" fmla="*/ 2125437 h 42508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</a:cxnLst>
              <a:rect l="l" t="t" r="r" b="b"/>
              <a:pathLst>
                <a:path w="4250871" h="4250873">
                  <a:moveTo>
                    <a:pt x="2860562" y="3136711"/>
                  </a:moveTo>
                  <a:cubicBezTo>
                    <a:pt x="2860562" y="3201423"/>
                    <a:pt x="2808102" y="3253883"/>
                    <a:pt x="2743390" y="3253883"/>
                  </a:cubicBezTo>
                  <a:lnTo>
                    <a:pt x="1430254" y="3253883"/>
                  </a:lnTo>
                  <a:lnTo>
                    <a:pt x="1592348" y="3415977"/>
                  </a:lnTo>
                  <a:cubicBezTo>
                    <a:pt x="1638107" y="3461735"/>
                    <a:pt x="1638107" y="3535925"/>
                    <a:pt x="1592348" y="3581683"/>
                  </a:cubicBezTo>
                  <a:cubicBezTo>
                    <a:pt x="1546590" y="3627443"/>
                    <a:pt x="1472401" y="3627443"/>
                    <a:pt x="1426642" y="3581683"/>
                  </a:cubicBezTo>
                  <a:lnTo>
                    <a:pt x="1072656" y="3227696"/>
                  </a:lnTo>
                  <a:lnTo>
                    <a:pt x="1071717" y="3227127"/>
                  </a:lnTo>
                  <a:lnTo>
                    <a:pt x="1068045" y="3223086"/>
                  </a:lnTo>
                  <a:lnTo>
                    <a:pt x="1064523" y="3219563"/>
                  </a:lnTo>
                  <a:lnTo>
                    <a:pt x="1063649" y="3218248"/>
                  </a:lnTo>
                  <a:lnTo>
                    <a:pt x="1049089" y="3202223"/>
                  </a:lnTo>
                  <a:lnTo>
                    <a:pt x="1045750" y="3191293"/>
                  </a:lnTo>
                  <a:lnTo>
                    <a:pt x="1038784" y="3180802"/>
                  </a:lnTo>
                  <a:lnTo>
                    <a:pt x="1032182" y="3146874"/>
                  </a:lnTo>
                  <a:lnTo>
                    <a:pt x="1029077" y="3136711"/>
                  </a:lnTo>
                  <a:cubicBezTo>
                    <a:pt x="1029077" y="3104355"/>
                    <a:pt x="1042192" y="3075062"/>
                    <a:pt x="1063396" y="3053858"/>
                  </a:cubicBezTo>
                  <a:lnTo>
                    <a:pt x="1066851" y="3051529"/>
                  </a:lnTo>
                  <a:lnTo>
                    <a:pt x="1426642" y="2691737"/>
                  </a:lnTo>
                  <a:cubicBezTo>
                    <a:pt x="1472401" y="2645978"/>
                    <a:pt x="1546590" y="2645978"/>
                    <a:pt x="1592348" y="2691737"/>
                  </a:cubicBezTo>
                  <a:cubicBezTo>
                    <a:pt x="1638107" y="2737495"/>
                    <a:pt x="1638107" y="2811685"/>
                    <a:pt x="1592348" y="2857443"/>
                  </a:cubicBezTo>
                  <a:lnTo>
                    <a:pt x="1430252" y="3019539"/>
                  </a:lnTo>
                  <a:lnTo>
                    <a:pt x="2743390" y="3019539"/>
                  </a:lnTo>
                  <a:cubicBezTo>
                    <a:pt x="2808102" y="3019539"/>
                    <a:pt x="2860562" y="3071999"/>
                    <a:pt x="2860562" y="3136711"/>
                  </a:cubicBezTo>
                  <a:close/>
                  <a:moveTo>
                    <a:pt x="2860562" y="2122041"/>
                  </a:moveTo>
                  <a:cubicBezTo>
                    <a:pt x="2860562" y="2186753"/>
                    <a:pt x="2808102" y="2239213"/>
                    <a:pt x="2743390" y="2239213"/>
                  </a:cubicBezTo>
                  <a:lnTo>
                    <a:pt x="1430254" y="2239213"/>
                  </a:lnTo>
                  <a:lnTo>
                    <a:pt x="1592348" y="2401307"/>
                  </a:lnTo>
                  <a:cubicBezTo>
                    <a:pt x="1638107" y="2447065"/>
                    <a:pt x="1638107" y="2521255"/>
                    <a:pt x="1592348" y="2567013"/>
                  </a:cubicBezTo>
                  <a:cubicBezTo>
                    <a:pt x="1546590" y="2612772"/>
                    <a:pt x="1472401" y="2612772"/>
                    <a:pt x="1426642" y="2567013"/>
                  </a:cubicBezTo>
                  <a:lnTo>
                    <a:pt x="1072656" y="2213026"/>
                  </a:lnTo>
                  <a:lnTo>
                    <a:pt x="1071717" y="2212457"/>
                  </a:lnTo>
                  <a:lnTo>
                    <a:pt x="1068045" y="2208416"/>
                  </a:lnTo>
                  <a:lnTo>
                    <a:pt x="1064523" y="2204893"/>
                  </a:lnTo>
                  <a:lnTo>
                    <a:pt x="1063649" y="2203578"/>
                  </a:lnTo>
                  <a:lnTo>
                    <a:pt x="1049089" y="2187553"/>
                  </a:lnTo>
                  <a:lnTo>
                    <a:pt x="1045750" y="2176623"/>
                  </a:lnTo>
                  <a:lnTo>
                    <a:pt x="1038784" y="2166132"/>
                  </a:lnTo>
                  <a:lnTo>
                    <a:pt x="1032182" y="2132204"/>
                  </a:lnTo>
                  <a:lnTo>
                    <a:pt x="1029077" y="2122041"/>
                  </a:lnTo>
                  <a:cubicBezTo>
                    <a:pt x="1029077" y="2089685"/>
                    <a:pt x="1042192" y="2060392"/>
                    <a:pt x="1063396" y="2039188"/>
                  </a:cubicBezTo>
                  <a:lnTo>
                    <a:pt x="1066851" y="2036859"/>
                  </a:lnTo>
                  <a:lnTo>
                    <a:pt x="1426642" y="1677067"/>
                  </a:lnTo>
                  <a:cubicBezTo>
                    <a:pt x="1472401" y="1631308"/>
                    <a:pt x="1546590" y="1631308"/>
                    <a:pt x="1592348" y="1677067"/>
                  </a:cubicBezTo>
                  <a:cubicBezTo>
                    <a:pt x="1638107" y="1722825"/>
                    <a:pt x="1638107" y="1797015"/>
                    <a:pt x="1592348" y="1842773"/>
                  </a:cubicBezTo>
                  <a:lnTo>
                    <a:pt x="1430252" y="2004869"/>
                  </a:lnTo>
                  <a:lnTo>
                    <a:pt x="2743390" y="2004869"/>
                  </a:lnTo>
                  <a:cubicBezTo>
                    <a:pt x="2808102" y="2004869"/>
                    <a:pt x="2860562" y="2057329"/>
                    <a:pt x="2860562" y="2122041"/>
                  </a:cubicBezTo>
                  <a:close/>
                  <a:moveTo>
                    <a:pt x="2860562" y="1107371"/>
                  </a:moveTo>
                  <a:cubicBezTo>
                    <a:pt x="2860562" y="1172083"/>
                    <a:pt x="2808102" y="1224543"/>
                    <a:pt x="2743390" y="1224543"/>
                  </a:cubicBezTo>
                  <a:lnTo>
                    <a:pt x="1430254" y="1224543"/>
                  </a:lnTo>
                  <a:lnTo>
                    <a:pt x="1592348" y="1386637"/>
                  </a:lnTo>
                  <a:cubicBezTo>
                    <a:pt x="1638107" y="1432395"/>
                    <a:pt x="1638107" y="1506585"/>
                    <a:pt x="1592348" y="1552343"/>
                  </a:cubicBezTo>
                  <a:cubicBezTo>
                    <a:pt x="1546590" y="1598102"/>
                    <a:pt x="1472401" y="1598102"/>
                    <a:pt x="1426642" y="1552343"/>
                  </a:cubicBezTo>
                  <a:lnTo>
                    <a:pt x="1072656" y="1198356"/>
                  </a:lnTo>
                  <a:lnTo>
                    <a:pt x="1071717" y="1197787"/>
                  </a:lnTo>
                  <a:lnTo>
                    <a:pt x="1068045" y="1193746"/>
                  </a:lnTo>
                  <a:lnTo>
                    <a:pt x="1064523" y="1190223"/>
                  </a:lnTo>
                  <a:lnTo>
                    <a:pt x="1063649" y="1188908"/>
                  </a:lnTo>
                  <a:lnTo>
                    <a:pt x="1049089" y="1172883"/>
                  </a:lnTo>
                  <a:lnTo>
                    <a:pt x="1045750" y="1161953"/>
                  </a:lnTo>
                  <a:lnTo>
                    <a:pt x="1038784" y="1151462"/>
                  </a:lnTo>
                  <a:lnTo>
                    <a:pt x="1032182" y="1117534"/>
                  </a:lnTo>
                  <a:lnTo>
                    <a:pt x="1029077" y="1107371"/>
                  </a:lnTo>
                  <a:cubicBezTo>
                    <a:pt x="1029077" y="1075015"/>
                    <a:pt x="1042192" y="1045722"/>
                    <a:pt x="1063396" y="1024518"/>
                  </a:cubicBezTo>
                  <a:lnTo>
                    <a:pt x="1066851" y="1022189"/>
                  </a:lnTo>
                  <a:lnTo>
                    <a:pt x="1426642" y="662397"/>
                  </a:lnTo>
                  <a:cubicBezTo>
                    <a:pt x="1472401" y="616638"/>
                    <a:pt x="1546590" y="616638"/>
                    <a:pt x="1592348" y="662397"/>
                  </a:cubicBezTo>
                  <a:cubicBezTo>
                    <a:pt x="1638107" y="708155"/>
                    <a:pt x="1638107" y="782345"/>
                    <a:pt x="1592348" y="828103"/>
                  </a:cubicBezTo>
                  <a:lnTo>
                    <a:pt x="1430252" y="990199"/>
                  </a:lnTo>
                  <a:lnTo>
                    <a:pt x="2743390" y="990199"/>
                  </a:lnTo>
                  <a:cubicBezTo>
                    <a:pt x="2808102" y="990199"/>
                    <a:pt x="2860562" y="1042659"/>
                    <a:pt x="2860562" y="1107371"/>
                  </a:cubicBezTo>
                  <a:close/>
                  <a:moveTo>
                    <a:pt x="3334103" y="1052131"/>
                  </a:moveTo>
                  <a:lnTo>
                    <a:pt x="3334103" y="3191951"/>
                  </a:lnTo>
                  <a:cubicBezTo>
                    <a:pt x="3334103" y="3256663"/>
                    <a:pt x="3281643" y="3309123"/>
                    <a:pt x="3216931" y="3309123"/>
                  </a:cubicBezTo>
                  <a:cubicBezTo>
                    <a:pt x="3152219" y="3309123"/>
                    <a:pt x="3099759" y="3256663"/>
                    <a:pt x="3099759" y="3191951"/>
                  </a:cubicBezTo>
                  <a:lnTo>
                    <a:pt x="3099759" y="1052131"/>
                  </a:lnTo>
                  <a:cubicBezTo>
                    <a:pt x="3099759" y="987419"/>
                    <a:pt x="3152219" y="934959"/>
                    <a:pt x="3216931" y="934959"/>
                  </a:cubicBezTo>
                  <a:cubicBezTo>
                    <a:pt x="3281643" y="934959"/>
                    <a:pt x="3334103" y="987419"/>
                    <a:pt x="3334103" y="1052131"/>
                  </a:cubicBezTo>
                  <a:close/>
                  <a:moveTo>
                    <a:pt x="3984408" y="2125436"/>
                  </a:moveTo>
                  <a:cubicBezTo>
                    <a:pt x="3984408" y="1098754"/>
                    <a:pt x="3152119" y="266464"/>
                    <a:pt x="2125437" y="266463"/>
                  </a:cubicBezTo>
                  <a:cubicBezTo>
                    <a:pt x="1098755" y="266463"/>
                    <a:pt x="266465" y="1098753"/>
                    <a:pt x="266465" y="2125435"/>
                  </a:cubicBezTo>
                  <a:cubicBezTo>
                    <a:pt x="266464" y="3152118"/>
                    <a:pt x="1098755" y="3984408"/>
                    <a:pt x="2125437" y="3984408"/>
                  </a:cubicBezTo>
                  <a:cubicBezTo>
                    <a:pt x="3152119" y="3984408"/>
                    <a:pt x="3984408" y="3152118"/>
                    <a:pt x="3984408" y="2125436"/>
                  </a:cubicBezTo>
                  <a:close/>
                  <a:moveTo>
                    <a:pt x="4250871" y="2125437"/>
                  </a:moveTo>
                  <a:cubicBezTo>
                    <a:pt x="4250871" y="3299283"/>
                    <a:pt x="3299282" y="4250873"/>
                    <a:pt x="2125436" y="4250873"/>
                  </a:cubicBezTo>
                  <a:cubicBezTo>
                    <a:pt x="951589" y="4250873"/>
                    <a:pt x="-1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ubicBezTo>
                    <a:pt x="3299282" y="1"/>
                    <a:pt x="4250871" y="951591"/>
                    <a:pt x="4250871" y="2125437"/>
                  </a:cubicBezTo>
                  <a:close/>
                </a:path>
              </a:pathLst>
            </a:cu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62" name="Agrupar 361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00000000-0008-0000-0400-00006A010000}"/>
              </a:ext>
            </a:extLst>
          </xdr:cNvPr>
          <xdr:cNvGrpSpPr/>
        </xdr:nvGrpSpPr>
        <xdr:grpSpPr>
          <a:xfrm>
            <a:off x="8233479" y="123825"/>
            <a:ext cx="1268332" cy="243701"/>
            <a:chOff x="7056922" y="88944"/>
            <a:chExt cx="1271770" cy="243701"/>
          </a:xfrm>
        </xdr:grpSpPr>
        <xdr:sp macro="" textlink="">
          <xdr:nvSpPr>
            <xdr:cNvPr id="376" name="Retângulo: Cantos Arredondados 375">
              <a:extLst>
                <a:ext uri="{FF2B5EF4-FFF2-40B4-BE49-F238E27FC236}">
                  <a16:creationId xmlns:a16="http://schemas.microsoft.com/office/drawing/2014/main" id="{00000000-0008-0000-0400-000078010000}"/>
                </a:ext>
              </a:extLst>
            </xdr:cNvPr>
            <xdr:cNvSpPr/>
          </xdr:nvSpPr>
          <xdr:spPr>
            <a:xfrm>
              <a:off x="7056922" y="88944"/>
              <a:ext cx="1271770" cy="243701"/>
            </a:xfrm>
            <a:prstGeom prst="roundRect">
              <a:avLst>
                <a:gd name="adj" fmla="val 50000"/>
              </a:avLst>
            </a:prstGeom>
            <a:solidFill>
              <a:srgbClr val="FD3F0B"/>
            </a:solidFill>
            <a:ln>
              <a:noFill/>
            </a:ln>
            <a:effectLst>
              <a:outerShdw blurRad="304800" sx="105000" sy="105000" algn="ctr" rotWithShape="0">
                <a:srgbClr val="FB510D">
                  <a:alpha val="54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tIns="468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Combinações</a:t>
              </a:r>
            </a:p>
          </xdr:txBody>
        </xdr:sp>
        <xdr:sp macro="" textlink="">
          <xdr:nvSpPr>
            <xdr:cNvPr id="377" name="Forma Livre: Forma 376">
              <a:extLst>
                <a:ext uri="{FF2B5EF4-FFF2-40B4-BE49-F238E27FC236}">
                  <a16:creationId xmlns:a16="http://schemas.microsoft.com/office/drawing/2014/main" id="{00000000-0008-0000-0400-000079010000}"/>
                </a:ext>
              </a:extLst>
            </xdr:cNvPr>
            <xdr:cNvSpPr>
              <a:spLocks noChangeAspect="1"/>
            </xdr:cNvSpPr>
          </xdr:nvSpPr>
          <xdr:spPr>
            <a:xfrm>
              <a:off x="7119137" y="117836"/>
              <a:ext cx="185995" cy="180000"/>
            </a:xfrm>
            <a:custGeom>
              <a:avLst/>
              <a:gdLst>
                <a:gd name="connsiteX0" fmla="*/ 2278531 w 3569686"/>
                <a:gd name="connsiteY0" fmla="*/ 2328860 h 3454629"/>
                <a:gd name="connsiteX1" fmla="*/ 2194294 w 3569686"/>
                <a:gd name="connsiteY1" fmla="*/ 2363873 h 3454629"/>
                <a:gd name="connsiteX2" fmla="*/ 1775189 w 3569686"/>
                <a:gd name="connsiteY2" fmla="*/ 2437837 h 3454629"/>
                <a:gd name="connsiteX3" fmla="*/ 1300731 w 3569686"/>
                <a:gd name="connsiteY3" fmla="*/ 2342048 h 3454629"/>
                <a:gd name="connsiteX4" fmla="*/ 1289766 w 3569686"/>
                <a:gd name="connsiteY4" fmla="*/ 2336766 h 3454629"/>
                <a:gd name="connsiteX5" fmla="*/ 1290167 w 3569686"/>
                <a:gd name="connsiteY5" fmla="*/ 2344713 h 3454629"/>
                <a:gd name="connsiteX6" fmla="*/ 1633943 w 3569686"/>
                <a:gd name="connsiteY6" fmla="*/ 3024860 h 3454629"/>
                <a:gd name="connsiteX7" fmla="*/ 1767728 w 3569686"/>
                <a:gd name="connsiteY7" fmla="*/ 3126135 h 3454629"/>
                <a:gd name="connsiteX8" fmla="*/ 1814987 w 3569686"/>
                <a:gd name="connsiteY8" fmla="*/ 3097424 h 3454629"/>
                <a:gd name="connsiteX9" fmla="*/ 2263363 w 3569686"/>
                <a:gd name="connsiteY9" fmla="*/ 2428251 h 3454629"/>
                <a:gd name="connsiteX10" fmla="*/ 2982129 w 3569686"/>
                <a:gd name="connsiteY10" fmla="*/ 1380800 h 3454629"/>
                <a:gd name="connsiteX11" fmla="*/ 2969344 w 3569686"/>
                <a:gd name="connsiteY11" fmla="*/ 1464573 h 3454629"/>
                <a:gd name="connsiteX12" fmla="*/ 2550535 w 3569686"/>
                <a:gd name="connsiteY12" fmla="*/ 2159495 h 3454629"/>
                <a:gd name="connsiteX13" fmla="*/ 2436571 w 3569686"/>
                <a:gd name="connsiteY13" fmla="*/ 2238469 h 3454629"/>
                <a:gd name="connsiteX14" fmla="*/ 2431544 w 3569686"/>
                <a:gd name="connsiteY14" fmla="*/ 2338022 h 3454629"/>
                <a:gd name="connsiteX15" fmla="*/ 1994264 w 3569686"/>
                <a:gd name="connsiteY15" fmla="*/ 3153971 h 3454629"/>
                <a:gd name="connsiteX16" fmla="*/ 1919588 w 3569686"/>
                <a:gd name="connsiteY16" fmla="*/ 3209813 h 3454629"/>
                <a:gd name="connsiteX17" fmla="*/ 1959854 w 3569686"/>
                <a:gd name="connsiteY17" fmla="*/ 3227866 h 3454629"/>
                <a:gd name="connsiteX18" fmla="*/ 2350767 w 3569686"/>
                <a:gd name="connsiteY18" fmla="*/ 3301814 h 3454629"/>
                <a:gd name="connsiteX19" fmla="*/ 3416871 w 3569686"/>
                <a:gd name="connsiteY19" fmla="*/ 2235710 h 3454629"/>
                <a:gd name="connsiteX20" fmla="*/ 3104616 w 3569686"/>
                <a:gd name="connsiteY20" fmla="*/ 1481861 h 3454629"/>
                <a:gd name="connsiteX21" fmla="*/ 565923 w 3569686"/>
                <a:gd name="connsiteY21" fmla="*/ 1371932 h 3454629"/>
                <a:gd name="connsiteX22" fmla="*/ 540777 w 3569686"/>
                <a:gd name="connsiteY22" fmla="*/ 1390737 h 3454629"/>
                <a:gd name="connsiteX23" fmla="*/ 152814 w 3569686"/>
                <a:gd name="connsiteY23" fmla="*/ 2213394 h 3454629"/>
                <a:gd name="connsiteX24" fmla="*/ 1218918 w 3569686"/>
                <a:gd name="connsiteY24" fmla="*/ 3279498 h 3454629"/>
                <a:gd name="connsiteX25" fmla="*/ 1535945 w 3569686"/>
                <a:gd name="connsiteY25" fmla="*/ 3231568 h 3454629"/>
                <a:gd name="connsiteX26" fmla="*/ 1610884 w 3569686"/>
                <a:gd name="connsiteY26" fmla="*/ 3204140 h 3454629"/>
                <a:gd name="connsiteX27" fmla="*/ 1531194 w 3569686"/>
                <a:gd name="connsiteY27" fmla="*/ 3137976 h 3454629"/>
                <a:gd name="connsiteX28" fmla="*/ 1138142 w 3569686"/>
                <a:gd name="connsiteY28" fmla="*/ 2360338 h 3454629"/>
                <a:gd name="connsiteX29" fmla="*/ 1132742 w 3569686"/>
                <a:gd name="connsiteY29" fmla="*/ 2253396 h 3454629"/>
                <a:gd name="connsiteX30" fmla="*/ 1093680 w 3569686"/>
                <a:gd name="connsiteY30" fmla="*/ 2229665 h 3454629"/>
                <a:gd name="connsiteX31" fmla="*/ 566064 w 3569686"/>
                <a:gd name="connsiteY31" fmla="*/ 1374164 h 3454629"/>
                <a:gd name="connsiteX32" fmla="*/ 1802664 w 3569686"/>
                <a:gd name="connsiteY32" fmla="*/ 1321878 h 3454629"/>
                <a:gd name="connsiteX33" fmla="*/ 1787007 w 3569686"/>
                <a:gd name="connsiteY33" fmla="*/ 1330692 h 3454629"/>
                <a:gd name="connsiteX34" fmla="*/ 1290167 w 3569686"/>
                <a:gd name="connsiteY34" fmla="*/ 2126707 h 3454629"/>
                <a:gd name="connsiteX35" fmla="*/ 1288156 w 3569686"/>
                <a:gd name="connsiteY35" fmla="*/ 2166531 h 3454629"/>
                <a:gd name="connsiteX36" fmla="*/ 1360213 w 3569686"/>
                <a:gd name="connsiteY36" fmla="*/ 2201242 h 3454629"/>
                <a:gd name="connsiteX37" fmla="*/ 1775189 w 3569686"/>
                <a:gd name="connsiteY37" fmla="*/ 2285022 h 3454629"/>
                <a:gd name="connsiteX38" fmla="*/ 2254778 w 3569686"/>
                <a:gd name="connsiteY38" fmla="*/ 2171317 h 3454629"/>
                <a:gd name="connsiteX39" fmla="*/ 2282120 w 3569686"/>
                <a:gd name="connsiteY39" fmla="*/ 2155926 h 3454629"/>
                <a:gd name="connsiteX40" fmla="*/ 2279518 w 3569686"/>
                <a:gd name="connsiteY40" fmla="*/ 2104391 h 3454629"/>
                <a:gd name="connsiteX41" fmla="*/ 1814987 w 3569686"/>
                <a:gd name="connsiteY41" fmla="*/ 1329364 h 3454629"/>
                <a:gd name="connsiteX42" fmla="*/ 2350767 w 3569686"/>
                <a:gd name="connsiteY42" fmla="*/ 1169606 h 3454629"/>
                <a:gd name="connsiteX43" fmla="*/ 1959854 w 3569686"/>
                <a:gd name="connsiteY43" fmla="*/ 1243555 h 3454629"/>
                <a:gd name="connsiteX44" fmla="*/ 1956901 w 3569686"/>
                <a:gd name="connsiteY44" fmla="*/ 1244879 h 3454629"/>
                <a:gd name="connsiteX45" fmla="*/ 1994264 w 3569686"/>
                <a:gd name="connsiteY45" fmla="*/ 1272818 h 3454629"/>
                <a:gd name="connsiteX46" fmla="*/ 2413073 w 3569686"/>
                <a:gd name="connsiteY46" fmla="*/ 1967740 h 3454629"/>
                <a:gd name="connsiteX47" fmla="*/ 2426766 w 3569686"/>
                <a:gd name="connsiteY47" fmla="*/ 2057460 h 3454629"/>
                <a:gd name="connsiteX48" fmla="*/ 2492013 w 3569686"/>
                <a:gd name="connsiteY48" fmla="*/ 2008067 h 3454629"/>
                <a:gd name="connsiteX49" fmla="*/ 2835789 w 3569686"/>
                <a:gd name="connsiteY49" fmla="*/ 1327921 h 3454629"/>
                <a:gd name="connsiteX50" fmla="*/ 2837800 w 3569686"/>
                <a:gd name="connsiteY50" fmla="*/ 1288098 h 3454629"/>
                <a:gd name="connsiteX51" fmla="*/ 2765743 w 3569686"/>
                <a:gd name="connsiteY51" fmla="*/ 1253386 h 3454629"/>
                <a:gd name="connsiteX52" fmla="*/ 2350767 w 3569686"/>
                <a:gd name="connsiteY52" fmla="*/ 1169606 h 3454629"/>
                <a:gd name="connsiteX53" fmla="*/ 1218918 w 3569686"/>
                <a:gd name="connsiteY53" fmla="*/ 1147290 h 3454629"/>
                <a:gd name="connsiteX54" fmla="*/ 803942 w 3569686"/>
                <a:gd name="connsiteY54" fmla="*/ 1231070 h 3454629"/>
                <a:gd name="connsiteX55" fmla="*/ 711937 w 3569686"/>
                <a:gd name="connsiteY55" fmla="*/ 1275391 h 3454629"/>
                <a:gd name="connsiteX56" fmla="*/ 714589 w 3569686"/>
                <a:gd name="connsiteY56" fmla="*/ 1327921 h 3454629"/>
                <a:gd name="connsiteX57" fmla="*/ 1021340 w 3569686"/>
                <a:gd name="connsiteY57" fmla="*/ 1972767 h 3454629"/>
                <a:gd name="connsiteX58" fmla="*/ 1143828 w 3569686"/>
                <a:gd name="connsiteY58" fmla="*/ 2073829 h 3454629"/>
                <a:gd name="connsiteX59" fmla="*/ 1156613 w 3569686"/>
                <a:gd name="connsiteY59" fmla="*/ 1990056 h 3454629"/>
                <a:gd name="connsiteX60" fmla="*/ 1575422 w 3569686"/>
                <a:gd name="connsiteY60" fmla="*/ 1295134 h 3454629"/>
                <a:gd name="connsiteX61" fmla="*/ 1653937 w 3569686"/>
                <a:gd name="connsiteY61" fmla="*/ 1240725 h 3454629"/>
                <a:gd name="connsiteX62" fmla="*/ 1633894 w 3569686"/>
                <a:gd name="connsiteY62" fmla="*/ 1231070 h 3454629"/>
                <a:gd name="connsiteX63" fmla="*/ 1218918 w 3569686"/>
                <a:gd name="connsiteY63" fmla="*/ 1147290 h 3454629"/>
                <a:gd name="connsiteX64" fmla="*/ 1775189 w 3569686"/>
                <a:gd name="connsiteY64" fmla="*/ 152814 h 3454629"/>
                <a:gd name="connsiteX65" fmla="*/ 730744 w 3569686"/>
                <a:gd name="connsiteY65" fmla="*/ 1004061 h 3454629"/>
                <a:gd name="connsiteX66" fmla="*/ 715456 w 3569686"/>
                <a:gd name="connsiteY66" fmla="*/ 1104237 h 3454629"/>
                <a:gd name="connsiteX67" fmla="*/ 744460 w 3569686"/>
                <a:gd name="connsiteY67" fmla="*/ 1090265 h 3454629"/>
                <a:gd name="connsiteX68" fmla="*/ 1218919 w 3569686"/>
                <a:gd name="connsiteY68" fmla="*/ 994476 h 3454629"/>
                <a:gd name="connsiteX69" fmla="*/ 1799928 w 3569686"/>
                <a:gd name="connsiteY69" fmla="*/ 1141593 h 3454629"/>
                <a:gd name="connsiteX70" fmla="*/ 1806707 w 3569686"/>
                <a:gd name="connsiteY70" fmla="*/ 1145712 h 3454629"/>
                <a:gd name="connsiteX71" fmla="*/ 1835682 w 3569686"/>
                <a:gd name="connsiteY71" fmla="*/ 1130650 h 3454629"/>
                <a:gd name="connsiteX72" fmla="*/ 2350767 w 3569686"/>
                <a:gd name="connsiteY72" fmla="*/ 1016792 h 3454629"/>
                <a:gd name="connsiteX73" fmla="*/ 2825226 w 3569686"/>
                <a:gd name="connsiteY73" fmla="*/ 1112581 h 3454629"/>
                <a:gd name="connsiteX74" fmla="*/ 2836190 w 3569686"/>
                <a:gd name="connsiteY74" fmla="*/ 1117863 h 3454629"/>
                <a:gd name="connsiteX75" fmla="*/ 2835789 w 3569686"/>
                <a:gd name="connsiteY75" fmla="*/ 1109915 h 3454629"/>
                <a:gd name="connsiteX76" fmla="*/ 1775189 w 3569686"/>
                <a:gd name="connsiteY76" fmla="*/ 152814 h 3454629"/>
                <a:gd name="connsiteX77" fmla="*/ 1775189 w 3569686"/>
                <a:gd name="connsiteY77" fmla="*/ 0 h 3454629"/>
                <a:gd name="connsiteX78" fmla="*/ 2987815 w 3569686"/>
                <a:gd name="connsiteY78" fmla="*/ 1094291 h 3454629"/>
                <a:gd name="connsiteX79" fmla="*/ 2993215 w 3569686"/>
                <a:gd name="connsiteY79" fmla="*/ 1201234 h 3454629"/>
                <a:gd name="connsiteX80" fmla="*/ 3032277 w 3569686"/>
                <a:gd name="connsiteY80" fmla="*/ 1224964 h 3454629"/>
                <a:gd name="connsiteX81" fmla="*/ 3569686 w 3569686"/>
                <a:gd name="connsiteY81" fmla="*/ 2235711 h 3454629"/>
                <a:gd name="connsiteX82" fmla="*/ 2350767 w 3569686"/>
                <a:gd name="connsiteY82" fmla="*/ 3454629 h 3454629"/>
                <a:gd name="connsiteX83" fmla="*/ 1802434 w 3569686"/>
                <a:gd name="connsiteY83" fmla="*/ 3324626 h 3454629"/>
                <a:gd name="connsiteX84" fmla="*/ 1763533 w 3569686"/>
                <a:gd name="connsiteY84" fmla="*/ 3302729 h 3454629"/>
                <a:gd name="connsiteX85" fmla="*/ 1693377 w 3569686"/>
                <a:gd name="connsiteY85" fmla="*/ 3336525 h 3454629"/>
                <a:gd name="connsiteX86" fmla="*/ 1218919 w 3569686"/>
                <a:gd name="connsiteY86" fmla="*/ 3432313 h 3454629"/>
                <a:gd name="connsiteX87" fmla="*/ 0 w 3569686"/>
                <a:gd name="connsiteY87" fmla="*/ 2213395 h 3454629"/>
                <a:gd name="connsiteX88" fmla="*/ 537410 w 3569686"/>
                <a:gd name="connsiteY88" fmla="*/ 1202648 h 3454629"/>
                <a:gd name="connsiteX89" fmla="*/ 557716 w 3569686"/>
                <a:gd name="connsiteY89" fmla="*/ 1190312 h 3454629"/>
                <a:gd name="connsiteX90" fmla="*/ 562564 w 3569686"/>
                <a:gd name="connsiteY90" fmla="*/ 1094291 h 3454629"/>
                <a:gd name="connsiteX91" fmla="*/ 1775189 w 3569686"/>
                <a:gd name="connsiteY91" fmla="*/ 0 h 345462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</a:cxnLst>
              <a:rect l="l" t="t" r="r" b="b"/>
              <a:pathLst>
                <a:path w="3569686" h="3454629">
                  <a:moveTo>
                    <a:pt x="2278531" y="2328860"/>
                  </a:moveTo>
                  <a:lnTo>
                    <a:pt x="2194294" y="2363873"/>
                  </a:lnTo>
                  <a:cubicBezTo>
                    <a:pt x="2063611" y="2411723"/>
                    <a:pt x="1922450" y="2437837"/>
                    <a:pt x="1775189" y="2437837"/>
                  </a:cubicBezTo>
                  <a:cubicBezTo>
                    <a:pt x="1606892" y="2437837"/>
                    <a:pt x="1446560" y="2403729"/>
                    <a:pt x="1300731" y="2342048"/>
                  </a:cubicBezTo>
                  <a:lnTo>
                    <a:pt x="1289766" y="2336766"/>
                  </a:lnTo>
                  <a:lnTo>
                    <a:pt x="1290167" y="2344713"/>
                  </a:lnTo>
                  <a:cubicBezTo>
                    <a:pt x="1317465" y="2613508"/>
                    <a:pt x="1444616" y="2852783"/>
                    <a:pt x="1633943" y="3024860"/>
                  </a:cubicBezTo>
                  <a:lnTo>
                    <a:pt x="1767728" y="3126135"/>
                  </a:lnTo>
                  <a:lnTo>
                    <a:pt x="1814987" y="3097424"/>
                  </a:lnTo>
                  <a:cubicBezTo>
                    <a:pt x="2041855" y="2944155"/>
                    <a:pt x="2206557" y="2705855"/>
                    <a:pt x="2263363" y="2428251"/>
                  </a:cubicBezTo>
                  <a:close/>
                  <a:moveTo>
                    <a:pt x="2982129" y="1380800"/>
                  </a:moveTo>
                  <a:lnTo>
                    <a:pt x="2969344" y="1464573"/>
                  </a:lnTo>
                  <a:cubicBezTo>
                    <a:pt x="2912514" y="1742294"/>
                    <a:pt x="2761236" y="1985609"/>
                    <a:pt x="2550535" y="2159495"/>
                  </a:cubicBezTo>
                  <a:lnTo>
                    <a:pt x="2436571" y="2238469"/>
                  </a:lnTo>
                  <a:lnTo>
                    <a:pt x="2431544" y="2338022"/>
                  </a:lnTo>
                  <a:cubicBezTo>
                    <a:pt x="2398253" y="2665834"/>
                    <a:pt x="2235065" y="2955245"/>
                    <a:pt x="1994264" y="3153971"/>
                  </a:cubicBezTo>
                  <a:lnTo>
                    <a:pt x="1919588" y="3209813"/>
                  </a:lnTo>
                  <a:lnTo>
                    <a:pt x="1959854" y="3227866"/>
                  </a:lnTo>
                  <a:cubicBezTo>
                    <a:pt x="2080894" y="3275595"/>
                    <a:pt x="2212769" y="3301814"/>
                    <a:pt x="2350767" y="3301814"/>
                  </a:cubicBezTo>
                  <a:cubicBezTo>
                    <a:pt x="2939560" y="3301814"/>
                    <a:pt x="3416871" y="2824503"/>
                    <a:pt x="3416871" y="2235710"/>
                  </a:cubicBezTo>
                  <a:cubicBezTo>
                    <a:pt x="3416871" y="1941314"/>
                    <a:pt x="3297543" y="1674788"/>
                    <a:pt x="3104616" y="1481861"/>
                  </a:cubicBezTo>
                  <a:close/>
                  <a:moveTo>
                    <a:pt x="565923" y="1371932"/>
                  </a:moveTo>
                  <a:lnTo>
                    <a:pt x="540777" y="1390737"/>
                  </a:lnTo>
                  <a:cubicBezTo>
                    <a:pt x="303838" y="1586276"/>
                    <a:pt x="152814" y="1882198"/>
                    <a:pt x="152814" y="2213394"/>
                  </a:cubicBezTo>
                  <a:cubicBezTo>
                    <a:pt x="152814" y="2802187"/>
                    <a:pt x="630125" y="3279498"/>
                    <a:pt x="1218918" y="3279498"/>
                  </a:cubicBezTo>
                  <a:cubicBezTo>
                    <a:pt x="1329317" y="3279498"/>
                    <a:pt x="1435796" y="3262718"/>
                    <a:pt x="1535945" y="3231568"/>
                  </a:cubicBezTo>
                  <a:lnTo>
                    <a:pt x="1610884" y="3204140"/>
                  </a:lnTo>
                  <a:lnTo>
                    <a:pt x="1531194" y="3137976"/>
                  </a:lnTo>
                  <a:cubicBezTo>
                    <a:pt x="1314730" y="2941234"/>
                    <a:pt x="1169353" y="2667662"/>
                    <a:pt x="1138142" y="2360338"/>
                  </a:cubicBezTo>
                  <a:lnTo>
                    <a:pt x="1132742" y="2253396"/>
                  </a:lnTo>
                  <a:lnTo>
                    <a:pt x="1093680" y="2229665"/>
                  </a:lnTo>
                  <a:cubicBezTo>
                    <a:pt x="809975" y="2037998"/>
                    <a:pt x="611300" y="1730027"/>
                    <a:pt x="566064" y="1374164"/>
                  </a:cubicBezTo>
                  <a:close/>
                  <a:moveTo>
                    <a:pt x="1802664" y="1321878"/>
                  </a:moveTo>
                  <a:lnTo>
                    <a:pt x="1787007" y="1330692"/>
                  </a:lnTo>
                  <a:cubicBezTo>
                    <a:pt x="1514433" y="1500845"/>
                    <a:pt x="1324289" y="1790714"/>
                    <a:pt x="1290167" y="2126707"/>
                  </a:cubicBezTo>
                  <a:lnTo>
                    <a:pt x="1288156" y="2166531"/>
                  </a:lnTo>
                  <a:lnTo>
                    <a:pt x="1360213" y="2201242"/>
                  </a:lnTo>
                  <a:cubicBezTo>
                    <a:pt x="1487760" y="2255190"/>
                    <a:pt x="1627991" y="2285022"/>
                    <a:pt x="1775189" y="2285022"/>
                  </a:cubicBezTo>
                  <a:cubicBezTo>
                    <a:pt x="1947687" y="2285022"/>
                    <a:pt x="2110616" y="2244054"/>
                    <a:pt x="2254778" y="2171317"/>
                  </a:cubicBezTo>
                  <a:lnTo>
                    <a:pt x="2282120" y="2155926"/>
                  </a:lnTo>
                  <a:lnTo>
                    <a:pt x="2279518" y="2104391"/>
                  </a:lnTo>
                  <a:cubicBezTo>
                    <a:pt x="2246761" y="1781838"/>
                    <a:pt x="2070214" y="1501792"/>
                    <a:pt x="1814987" y="1329364"/>
                  </a:cubicBezTo>
                  <a:close/>
                  <a:moveTo>
                    <a:pt x="2350767" y="1169606"/>
                  </a:moveTo>
                  <a:cubicBezTo>
                    <a:pt x="2212769" y="1169606"/>
                    <a:pt x="2080894" y="1195826"/>
                    <a:pt x="1959854" y="1243555"/>
                  </a:cubicBezTo>
                  <a:lnTo>
                    <a:pt x="1956901" y="1244879"/>
                  </a:lnTo>
                  <a:lnTo>
                    <a:pt x="1994264" y="1272818"/>
                  </a:lnTo>
                  <a:cubicBezTo>
                    <a:pt x="2204965" y="1446704"/>
                    <a:pt x="2356243" y="1690020"/>
                    <a:pt x="2413073" y="1967740"/>
                  </a:cubicBezTo>
                  <a:lnTo>
                    <a:pt x="2426766" y="2057460"/>
                  </a:lnTo>
                  <a:lnTo>
                    <a:pt x="2492013" y="2008067"/>
                  </a:lnTo>
                  <a:cubicBezTo>
                    <a:pt x="2681340" y="1835991"/>
                    <a:pt x="2808492" y="1596716"/>
                    <a:pt x="2835789" y="1327921"/>
                  </a:cubicBezTo>
                  <a:lnTo>
                    <a:pt x="2837800" y="1288098"/>
                  </a:lnTo>
                  <a:lnTo>
                    <a:pt x="2765743" y="1253386"/>
                  </a:lnTo>
                  <a:cubicBezTo>
                    <a:pt x="2638196" y="1199438"/>
                    <a:pt x="2497965" y="1169606"/>
                    <a:pt x="2350767" y="1169606"/>
                  </a:cubicBezTo>
                  <a:close/>
                  <a:moveTo>
                    <a:pt x="1218918" y="1147290"/>
                  </a:moveTo>
                  <a:cubicBezTo>
                    <a:pt x="1071720" y="1147290"/>
                    <a:pt x="931489" y="1177122"/>
                    <a:pt x="803942" y="1231070"/>
                  </a:cubicBezTo>
                  <a:lnTo>
                    <a:pt x="711937" y="1275391"/>
                  </a:lnTo>
                  <a:lnTo>
                    <a:pt x="714589" y="1327921"/>
                  </a:lnTo>
                  <a:cubicBezTo>
                    <a:pt x="740067" y="1578796"/>
                    <a:pt x="852529" y="1803956"/>
                    <a:pt x="1021340" y="1972767"/>
                  </a:cubicBezTo>
                  <a:lnTo>
                    <a:pt x="1143828" y="2073829"/>
                  </a:lnTo>
                  <a:lnTo>
                    <a:pt x="1156613" y="1990056"/>
                  </a:lnTo>
                  <a:cubicBezTo>
                    <a:pt x="1213443" y="1712336"/>
                    <a:pt x="1364721" y="1469020"/>
                    <a:pt x="1575422" y="1295134"/>
                  </a:cubicBezTo>
                  <a:lnTo>
                    <a:pt x="1653937" y="1240725"/>
                  </a:lnTo>
                  <a:lnTo>
                    <a:pt x="1633894" y="1231070"/>
                  </a:lnTo>
                  <a:cubicBezTo>
                    <a:pt x="1506347" y="1177122"/>
                    <a:pt x="1366116" y="1147290"/>
                    <a:pt x="1218918" y="1147290"/>
                  </a:cubicBezTo>
                  <a:close/>
                  <a:moveTo>
                    <a:pt x="1775189" y="152814"/>
                  </a:moveTo>
                  <a:cubicBezTo>
                    <a:pt x="1259995" y="152814"/>
                    <a:pt x="830155" y="518255"/>
                    <a:pt x="730744" y="1004061"/>
                  </a:cubicBezTo>
                  <a:lnTo>
                    <a:pt x="715456" y="1104237"/>
                  </a:lnTo>
                  <a:lnTo>
                    <a:pt x="744460" y="1090265"/>
                  </a:lnTo>
                  <a:cubicBezTo>
                    <a:pt x="890290" y="1028584"/>
                    <a:pt x="1050621" y="994476"/>
                    <a:pt x="1218919" y="994476"/>
                  </a:cubicBezTo>
                  <a:cubicBezTo>
                    <a:pt x="1429291" y="994476"/>
                    <a:pt x="1627215" y="1047770"/>
                    <a:pt x="1799928" y="1141593"/>
                  </a:cubicBezTo>
                  <a:lnTo>
                    <a:pt x="1806707" y="1145712"/>
                  </a:lnTo>
                  <a:lnTo>
                    <a:pt x="1835682" y="1130650"/>
                  </a:lnTo>
                  <a:cubicBezTo>
                    <a:pt x="1992146" y="1057595"/>
                    <a:pt x="2166692" y="1016792"/>
                    <a:pt x="2350767" y="1016792"/>
                  </a:cubicBezTo>
                  <a:cubicBezTo>
                    <a:pt x="2519065" y="1016792"/>
                    <a:pt x="2679396" y="1050900"/>
                    <a:pt x="2825226" y="1112581"/>
                  </a:cubicBezTo>
                  <a:lnTo>
                    <a:pt x="2836190" y="1117863"/>
                  </a:lnTo>
                  <a:lnTo>
                    <a:pt x="2835789" y="1109915"/>
                  </a:lnTo>
                  <a:cubicBezTo>
                    <a:pt x="2781194" y="572326"/>
                    <a:pt x="2327182" y="152814"/>
                    <a:pt x="1775189" y="152814"/>
                  </a:cubicBezTo>
                  <a:close/>
                  <a:moveTo>
                    <a:pt x="1775189" y="0"/>
                  </a:moveTo>
                  <a:cubicBezTo>
                    <a:pt x="2406306" y="0"/>
                    <a:pt x="2925394" y="479644"/>
                    <a:pt x="2987815" y="1094291"/>
                  </a:cubicBezTo>
                  <a:lnTo>
                    <a:pt x="2993215" y="1201234"/>
                  </a:lnTo>
                  <a:lnTo>
                    <a:pt x="3032277" y="1224964"/>
                  </a:lnTo>
                  <a:cubicBezTo>
                    <a:pt x="3356511" y="1444013"/>
                    <a:pt x="3569686" y="1814967"/>
                    <a:pt x="3569686" y="2235711"/>
                  </a:cubicBezTo>
                  <a:cubicBezTo>
                    <a:pt x="3569686" y="2908901"/>
                    <a:pt x="3023958" y="3454629"/>
                    <a:pt x="2350767" y="3454629"/>
                  </a:cubicBezTo>
                  <a:cubicBezTo>
                    <a:pt x="2153543" y="3454629"/>
                    <a:pt x="1967260" y="3407789"/>
                    <a:pt x="1802434" y="3324626"/>
                  </a:cubicBezTo>
                  <a:lnTo>
                    <a:pt x="1763533" y="3302729"/>
                  </a:lnTo>
                  <a:lnTo>
                    <a:pt x="1693377" y="3336525"/>
                  </a:lnTo>
                  <a:cubicBezTo>
                    <a:pt x="1547548" y="3398205"/>
                    <a:pt x="1387217" y="3432313"/>
                    <a:pt x="1218919" y="3432313"/>
                  </a:cubicBezTo>
                  <a:cubicBezTo>
                    <a:pt x="545728" y="3432313"/>
                    <a:pt x="0" y="2886585"/>
                    <a:pt x="0" y="2213395"/>
                  </a:cubicBezTo>
                  <a:cubicBezTo>
                    <a:pt x="0" y="1792651"/>
                    <a:pt x="213175" y="1421697"/>
                    <a:pt x="537410" y="1202648"/>
                  </a:cubicBezTo>
                  <a:lnTo>
                    <a:pt x="557716" y="1190312"/>
                  </a:lnTo>
                  <a:lnTo>
                    <a:pt x="562564" y="1094291"/>
                  </a:lnTo>
                  <a:cubicBezTo>
                    <a:pt x="624985" y="479644"/>
                    <a:pt x="1144073" y="0"/>
                    <a:pt x="1775189" y="0"/>
                  </a:cubicBezTo>
                  <a:close/>
                </a:path>
              </a:pathLst>
            </a:custGeom>
            <a:solidFill>
              <a:schemeClr val="bg1"/>
            </a:solidFill>
            <a:ln w="190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63" name="Agrupar 362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00000000-0008-0000-0400-00006B010000}"/>
              </a:ext>
            </a:extLst>
          </xdr:cNvPr>
          <xdr:cNvGrpSpPr/>
        </xdr:nvGrpSpPr>
        <xdr:grpSpPr>
          <a:xfrm>
            <a:off x="9747845" y="123825"/>
            <a:ext cx="1201786" cy="243701"/>
            <a:chOff x="8375383" y="88944"/>
            <a:chExt cx="1206101" cy="243701"/>
          </a:xfrm>
        </xdr:grpSpPr>
        <xdr:sp macro="" textlink="">
          <xdr:nvSpPr>
            <xdr:cNvPr id="374" name="Retângulo: Cantos Arredondados 373">
              <a:hlinkClick xmlns:r="http://schemas.openxmlformats.org/officeDocument/2006/relationships" r:id="rId22"/>
              <a:extLst>
                <a:ext uri="{FF2B5EF4-FFF2-40B4-BE49-F238E27FC236}">
                  <a16:creationId xmlns:a16="http://schemas.microsoft.com/office/drawing/2014/main" id="{00000000-0008-0000-0400-000076010000}"/>
                </a:ext>
              </a:extLst>
            </xdr:cNvPr>
            <xdr:cNvSpPr/>
          </xdr:nvSpPr>
          <xdr:spPr>
            <a:xfrm>
              <a:off x="8375383" y="88944"/>
              <a:ext cx="120610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Verificações</a:t>
              </a:r>
            </a:p>
          </xdr:txBody>
        </xdr:sp>
        <xdr:sp macro="" textlink="">
          <xdr:nvSpPr>
            <xdr:cNvPr id="375" name="Forma Livre: Forma 374">
              <a:extLst>
                <a:ext uri="{FF2B5EF4-FFF2-40B4-BE49-F238E27FC236}">
                  <a16:creationId xmlns:a16="http://schemas.microsoft.com/office/drawing/2014/main" id="{00000000-0008-0000-0400-000077010000}"/>
                </a:ext>
              </a:extLst>
            </xdr:cNvPr>
            <xdr:cNvSpPr>
              <a:spLocks noChangeAspect="1"/>
            </xdr:cNvSpPr>
          </xdr:nvSpPr>
          <xdr:spPr>
            <a:xfrm>
              <a:off x="8457315" y="108962"/>
              <a:ext cx="135198" cy="180000"/>
            </a:xfrm>
            <a:custGeom>
              <a:avLst/>
              <a:gdLst>
                <a:gd name="connsiteX0" fmla="*/ 1581153 w 2535787"/>
                <a:gd name="connsiteY0" fmla="*/ 2322953 h 3376090"/>
                <a:gd name="connsiteX1" fmla="*/ 1482262 w 2535787"/>
                <a:gd name="connsiteY1" fmla="*/ 2388502 h 3376090"/>
                <a:gd name="connsiteX2" fmla="*/ 1473828 w 2535787"/>
                <a:gd name="connsiteY2" fmla="*/ 2430278 h 3376090"/>
                <a:gd name="connsiteX3" fmla="*/ 1482262 w 2535787"/>
                <a:gd name="connsiteY3" fmla="*/ 2472053 h 3376090"/>
                <a:gd name="connsiteX4" fmla="*/ 1581153 w 2535787"/>
                <a:gd name="connsiteY4" fmla="*/ 2537602 h 3376090"/>
                <a:gd name="connsiteX5" fmla="*/ 2008482 w 2535787"/>
                <a:gd name="connsiteY5" fmla="*/ 2537603 h 3376090"/>
                <a:gd name="connsiteX6" fmla="*/ 2115807 w 2535787"/>
                <a:gd name="connsiteY6" fmla="*/ 2430278 h 3376090"/>
                <a:gd name="connsiteX7" fmla="*/ 2115808 w 2535787"/>
                <a:gd name="connsiteY7" fmla="*/ 2430278 h 3376090"/>
                <a:gd name="connsiteX8" fmla="*/ 2008483 w 2535787"/>
                <a:gd name="connsiteY8" fmla="*/ 2322953 h 3376090"/>
                <a:gd name="connsiteX9" fmla="*/ 1164301 w 2535787"/>
                <a:gd name="connsiteY9" fmla="*/ 2121918 h 3376090"/>
                <a:gd name="connsiteX10" fmla="*/ 1088411 w 2535787"/>
                <a:gd name="connsiteY10" fmla="*/ 2153353 h 3376090"/>
                <a:gd name="connsiteX11" fmla="*/ 744283 w 2535787"/>
                <a:gd name="connsiteY11" fmla="*/ 2497481 h 3376090"/>
                <a:gd name="connsiteX12" fmla="*/ 611461 w 2535787"/>
                <a:gd name="connsiteY12" fmla="*/ 2364660 h 3376090"/>
                <a:gd name="connsiteX13" fmla="*/ 495185 w 2535787"/>
                <a:gd name="connsiteY13" fmla="*/ 2341084 h 3376090"/>
                <a:gd name="connsiteX14" fmla="*/ 459682 w 2535787"/>
                <a:gd name="connsiteY14" fmla="*/ 2364660 h 3376090"/>
                <a:gd name="connsiteX15" fmla="*/ 459682 w 2535787"/>
                <a:gd name="connsiteY15" fmla="*/ 2364659 h 3376090"/>
                <a:gd name="connsiteX16" fmla="*/ 459681 w 2535787"/>
                <a:gd name="connsiteY16" fmla="*/ 2364660 h 3376090"/>
                <a:gd name="connsiteX17" fmla="*/ 459682 w 2535787"/>
                <a:gd name="connsiteY17" fmla="*/ 2364660 h 3376090"/>
                <a:gd name="connsiteX18" fmla="*/ 436106 w 2535787"/>
                <a:gd name="connsiteY18" fmla="*/ 2400163 h 3376090"/>
                <a:gd name="connsiteX19" fmla="*/ 459682 w 2535787"/>
                <a:gd name="connsiteY19" fmla="*/ 2516439 h 3376090"/>
                <a:gd name="connsiteX20" fmla="*/ 668391 w 2535787"/>
                <a:gd name="connsiteY20" fmla="*/ 2725151 h 3376090"/>
                <a:gd name="connsiteX21" fmla="*/ 820172 w 2535787"/>
                <a:gd name="connsiteY21" fmla="*/ 2725151 h 3376090"/>
                <a:gd name="connsiteX22" fmla="*/ 820173 w 2535787"/>
                <a:gd name="connsiteY22" fmla="*/ 2725151 h 3376090"/>
                <a:gd name="connsiteX23" fmla="*/ 820175 w 2535787"/>
                <a:gd name="connsiteY23" fmla="*/ 2725148 h 3376090"/>
                <a:gd name="connsiteX24" fmla="*/ 1240191 w 2535787"/>
                <a:gd name="connsiteY24" fmla="*/ 2305134 h 3376090"/>
                <a:gd name="connsiteX25" fmla="*/ 1240191 w 2535787"/>
                <a:gd name="connsiteY25" fmla="*/ 2153354 h 3376090"/>
                <a:gd name="connsiteX26" fmla="*/ 1240191 w 2535787"/>
                <a:gd name="connsiteY26" fmla="*/ 2153353 h 3376090"/>
                <a:gd name="connsiteX27" fmla="*/ 1164301 w 2535787"/>
                <a:gd name="connsiteY27" fmla="*/ 2121918 h 3376090"/>
                <a:gd name="connsiteX28" fmla="*/ 1581153 w 2535787"/>
                <a:gd name="connsiteY28" fmla="*/ 1473396 h 3376090"/>
                <a:gd name="connsiteX29" fmla="*/ 1482262 w 2535787"/>
                <a:gd name="connsiteY29" fmla="*/ 1538945 h 3376090"/>
                <a:gd name="connsiteX30" fmla="*/ 1473828 w 2535787"/>
                <a:gd name="connsiteY30" fmla="*/ 1580721 h 3376090"/>
                <a:gd name="connsiteX31" fmla="*/ 1482262 w 2535787"/>
                <a:gd name="connsiteY31" fmla="*/ 1622496 h 3376090"/>
                <a:gd name="connsiteX32" fmla="*/ 1581153 w 2535787"/>
                <a:gd name="connsiteY32" fmla="*/ 1688045 h 3376090"/>
                <a:gd name="connsiteX33" fmla="*/ 2008482 w 2535787"/>
                <a:gd name="connsiteY33" fmla="*/ 1688046 h 3376090"/>
                <a:gd name="connsiteX34" fmla="*/ 2115807 w 2535787"/>
                <a:gd name="connsiteY34" fmla="*/ 1580721 h 3376090"/>
                <a:gd name="connsiteX35" fmla="*/ 2115808 w 2535787"/>
                <a:gd name="connsiteY35" fmla="*/ 1580721 h 3376090"/>
                <a:gd name="connsiteX36" fmla="*/ 2008483 w 2535787"/>
                <a:gd name="connsiteY36" fmla="*/ 1473396 h 3376090"/>
                <a:gd name="connsiteX37" fmla="*/ 1164301 w 2535787"/>
                <a:gd name="connsiteY37" fmla="*/ 1272361 h 3376090"/>
                <a:gd name="connsiteX38" fmla="*/ 1088411 w 2535787"/>
                <a:gd name="connsiteY38" fmla="*/ 1303796 h 3376090"/>
                <a:gd name="connsiteX39" fmla="*/ 744283 w 2535787"/>
                <a:gd name="connsiteY39" fmla="*/ 1647924 h 3376090"/>
                <a:gd name="connsiteX40" fmla="*/ 611461 w 2535787"/>
                <a:gd name="connsiteY40" fmla="*/ 1515103 h 3376090"/>
                <a:gd name="connsiteX41" fmla="*/ 495185 w 2535787"/>
                <a:gd name="connsiteY41" fmla="*/ 1491527 h 3376090"/>
                <a:gd name="connsiteX42" fmla="*/ 459682 w 2535787"/>
                <a:gd name="connsiteY42" fmla="*/ 1515103 h 3376090"/>
                <a:gd name="connsiteX43" fmla="*/ 459682 w 2535787"/>
                <a:gd name="connsiteY43" fmla="*/ 1515102 h 3376090"/>
                <a:gd name="connsiteX44" fmla="*/ 459681 w 2535787"/>
                <a:gd name="connsiteY44" fmla="*/ 1515103 h 3376090"/>
                <a:gd name="connsiteX45" fmla="*/ 459682 w 2535787"/>
                <a:gd name="connsiteY45" fmla="*/ 1515103 h 3376090"/>
                <a:gd name="connsiteX46" fmla="*/ 436106 w 2535787"/>
                <a:gd name="connsiteY46" fmla="*/ 1550606 h 3376090"/>
                <a:gd name="connsiteX47" fmla="*/ 459682 w 2535787"/>
                <a:gd name="connsiteY47" fmla="*/ 1666882 h 3376090"/>
                <a:gd name="connsiteX48" fmla="*/ 668391 w 2535787"/>
                <a:gd name="connsiteY48" fmla="*/ 1875593 h 3376090"/>
                <a:gd name="connsiteX49" fmla="*/ 744282 w 2535787"/>
                <a:gd name="connsiteY49" fmla="*/ 1907028 h 3376090"/>
                <a:gd name="connsiteX50" fmla="*/ 744283 w 2535787"/>
                <a:gd name="connsiteY50" fmla="*/ 1907028 h 3376090"/>
                <a:gd name="connsiteX51" fmla="*/ 784669 w 2535787"/>
                <a:gd name="connsiteY51" fmla="*/ 1899169 h 3376090"/>
                <a:gd name="connsiteX52" fmla="*/ 820173 w 2535787"/>
                <a:gd name="connsiteY52" fmla="*/ 1875594 h 3376090"/>
                <a:gd name="connsiteX53" fmla="*/ 820175 w 2535787"/>
                <a:gd name="connsiteY53" fmla="*/ 1875591 h 3376090"/>
                <a:gd name="connsiteX54" fmla="*/ 1240191 w 2535787"/>
                <a:gd name="connsiteY54" fmla="*/ 1455577 h 3376090"/>
                <a:gd name="connsiteX55" fmla="*/ 1240191 w 2535787"/>
                <a:gd name="connsiteY55" fmla="*/ 1303797 h 3376090"/>
                <a:gd name="connsiteX56" fmla="*/ 1240191 w 2535787"/>
                <a:gd name="connsiteY56" fmla="*/ 1303796 h 3376090"/>
                <a:gd name="connsiteX57" fmla="*/ 1164301 w 2535787"/>
                <a:gd name="connsiteY57" fmla="*/ 1272361 h 3376090"/>
                <a:gd name="connsiteX58" fmla="*/ 224519 w 2535787"/>
                <a:gd name="connsiteY58" fmla="*/ 420258 h 3376090"/>
                <a:gd name="connsiteX59" fmla="*/ 419980 w 2535787"/>
                <a:gd name="connsiteY59" fmla="*/ 420258 h 3376090"/>
                <a:gd name="connsiteX60" fmla="*/ 419980 w 2535787"/>
                <a:gd name="connsiteY60" fmla="*/ 745536 h 3376090"/>
                <a:gd name="connsiteX61" fmla="*/ 727582 w 2535787"/>
                <a:gd name="connsiteY61" fmla="*/ 1053138 h 3376090"/>
                <a:gd name="connsiteX62" fmla="*/ 1808205 w 2535787"/>
                <a:gd name="connsiteY62" fmla="*/ 1053138 h 3376090"/>
                <a:gd name="connsiteX63" fmla="*/ 2115807 w 2535787"/>
                <a:gd name="connsiteY63" fmla="*/ 745536 h 3376090"/>
                <a:gd name="connsiteX64" fmla="*/ 2115807 w 2535787"/>
                <a:gd name="connsiteY64" fmla="*/ 420258 h 3376090"/>
                <a:gd name="connsiteX65" fmla="*/ 2311268 w 2535787"/>
                <a:gd name="connsiteY65" fmla="*/ 420258 h 3376090"/>
                <a:gd name="connsiteX66" fmla="*/ 2535787 w 2535787"/>
                <a:gd name="connsiteY66" fmla="*/ 644777 h 3376090"/>
                <a:gd name="connsiteX67" fmla="*/ 2535787 w 2535787"/>
                <a:gd name="connsiteY67" fmla="*/ 3151571 h 3376090"/>
                <a:gd name="connsiteX68" fmla="*/ 2311268 w 2535787"/>
                <a:gd name="connsiteY68" fmla="*/ 3376090 h 3376090"/>
                <a:gd name="connsiteX69" fmla="*/ 224519 w 2535787"/>
                <a:gd name="connsiteY69" fmla="*/ 3376090 h 3376090"/>
                <a:gd name="connsiteX70" fmla="*/ 0 w 2535787"/>
                <a:gd name="connsiteY70" fmla="*/ 3151571 h 3376090"/>
                <a:gd name="connsiteX71" fmla="*/ 0 w 2535787"/>
                <a:gd name="connsiteY71" fmla="*/ 644777 h 3376090"/>
                <a:gd name="connsiteX72" fmla="*/ 224519 w 2535787"/>
                <a:gd name="connsiteY72" fmla="*/ 420258 h 3376090"/>
                <a:gd name="connsiteX73" fmla="*/ 1267893 w 2535787"/>
                <a:gd name="connsiteY73" fmla="*/ 0 h 3376090"/>
                <a:gd name="connsiteX74" fmla="*/ 1559466 w 2535787"/>
                <a:gd name="connsiteY74" fmla="*/ 193267 h 3376090"/>
                <a:gd name="connsiteX75" fmla="*/ 1566164 w 2535787"/>
                <a:gd name="connsiteY75" fmla="*/ 214845 h 3376090"/>
                <a:gd name="connsiteX76" fmla="*/ 1796853 w 2535787"/>
                <a:gd name="connsiteY76" fmla="*/ 214845 h 3376090"/>
                <a:gd name="connsiteX77" fmla="*/ 1902335 w 2535787"/>
                <a:gd name="connsiteY77" fmla="*/ 320327 h 3376090"/>
                <a:gd name="connsiteX78" fmla="*/ 1902335 w 2535787"/>
                <a:gd name="connsiteY78" fmla="*/ 742243 h 3376090"/>
                <a:gd name="connsiteX79" fmla="*/ 1796853 w 2535787"/>
                <a:gd name="connsiteY79" fmla="*/ 847725 h 3376090"/>
                <a:gd name="connsiteX80" fmla="*/ 738934 w 2535787"/>
                <a:gd name="connsiteY80" fmla="*/ 847725 h 3376090"/>
                <a:gd name="connsiteX81" fmla="*/ 633452 w 2535787"/>
                <a:gd name="connsiteY81" fmla="*/ 742243 h 3376090"/>
                <a:gd name="connsiteX82" fmla="*/ 633452 w 2535787"/>
                <a:gd name="connsiteY82" fmla="*/ 320327 h 3376090"/>
                <a:gd name="connsiteX83" fmla="*/ 738934 w 2535787"/>
                <a:gd name="connsiteY83" fmla="*/ 214845 h 3376090"/>
                <a:gd name="connsiteX84" fmla="*/ 969623 w 2535787"/>
                <a:gd name="connsiteY84" fmla="*/ 214845 h 3376090"/>
                <a:gd name="connsiteX85" fmla="*/ 976321 w 2535787"/>
                <a:gd name="connsiteY85" fmla="*/ 193267 h 3376090"/>
                <a:gd name="connsiteX86" fmla="*/ 1267893 w 2535787"/>
                <a:gd name="connsiteY86" fmla="*/ 0 h 33760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</a:cxnLst>
              <a:rect l="l" t="t" r="r" b="b"/>
              <a:pathLst>
                <a:path w="2535787" h="3376090">
                  <a:moveTo>
                    <a:pt x="1581153" y="2322953"/>
                  </a:moveTo>
                  <a:cubicBezTo>
                    <a:pt x="1536698" y="2322953"/>
                    <a:pt x="1498555" y="2349982"/>
                    <a:pt x="1482262" y="2388502"/>
                  </a:cubicBezTo>
                  <a:lnTo>
                    <a:pt x="1473828" y="2430278"/>
                  </a:lnTo>
                  <a:lnTo>
                    <a:pt x="1482262" y="2472053"/>
                  </a:lnTo>
                  <a:cubicBezTo>
                    <a:pt x="1498555" y="2510574"/>
                    <a:pt x="1536698" y="2537602"/>
                    <a:pt x="1581153" y="2537602"/>
                  </a:cubicBezTo>
                  <a:lnTo>
                    <a:pt x="2008482" y="2537603"/>
                  </a:lnTo>
                  <a:cubicBezTo>
                    <a:pt x="2067756" y="2537603"/>
                    <a:pt x="2115807" y="2489552"/>
                    <a:pt x="2115807" y="2430278"/>
                  </a:cubicBezTo>
                  <a:lnTo>
                    <a:pt x="2115808" y="2430278"/>
                  </a:lnTo>
                  <a:cubicBezTo>
                    <a:pt x="2115808" y="2371004"/>
                    <a:pt x="2067757" y="2322953"/>
                    <a:pt x="2008483" y="2322953"/>
                  </a:cubicBezTo>
                  <a:close/>
                  <a:moveTo>
                    <a:pt x="1164301" y="2121918"/>
                  </a:moveTo>
                  <a:cubicBezTo>
                    <a:pt x="1136834" y="2121918"/>
                    <a:pt x="1109368" y="2132397"/>
                    <a:pt x="1088411" y="2153353"/>
                  </a:cubicBezTo>
                  <a:lnTo>
                    <a:pt x="744283" y="2497481"/>
                  </a:lnTo>
                  <a:lnTo>
                    <a:pt x="611461" y="2364660"/>
                  </a:lnTo>
                  <a:cubicBezTo>
                    <a:pt x="580026" y="2333225"/>
                    <a:pt x="533944" y="2325367"/>
                    <a:pt x="495185" y="2341084"/>
                  </a:cubicBezTo>
                  <a:lnTo>
                    <a:pt x="459682" y="2364660"/>
                  </a:lnTo>
                  <a:lnTo>
                    <a:pt x="459682" y="2364659"/>
                  </a:lnTo>
                  <a:lnTo>
                    <a:pt x="459681" y="2364660"/>
                  </a:lnTo>
                  <a:lnTo>
                    <a:pt x="459682" y="2364660"/>
                  </a:lnTo>
                  <a:lnTo>
                    <a:pt x="436106" y="2400163"/>
                  </a:lnTo>
                  <a:cubicBezTo>
                    <a:pt x="420389" y="2438922"/>
                    <a:pt x="428247" y="2485004"/>
                    <a:pt x="459682" y="2516439"/>
                  </a:cubicBezTo>
                  <a:lnTo>
                    <a:pt x="668391" y="2725151"/>
                  </a:lnTo>
                  <a:cubicBezTo>
                    <a:pt x="710304" y="2767064"/>
                    <a:pt x="778259" y="2767064"/>
                    <a:pt x="820172" y="2725151"/>
                  </a:cubicBezTo>
                  <a:lnTo>
                    <a:pt x="820173" y="2725151"/>
                  </a:lnTo>
                  <a:lnTo>
                    <a:pt x="820175" y="2725148"/>
                  </a:lnTo>
                  <a:lnTo>
                    <a:pt x="1240191" y="2305134"/>
                  </a:lnTo>
                  <a:cubicBezTo>
                    <a:pt x="1282104" y="2263221"/>
                    <a:pt x="1282104" y="2195267"/>
                    <a:pt x="1240191" y="2153354"/>
                  </a:cubicBezTo>
                  <a:lnTo>
                    <a:pt x="1240191" y="2153353"/>
                  </a:lnTo>
                  <a:cubicBezTo>
                    <a:pt x="1219235" y="2132397"/>
                    <a:pt x="1191768" y="2121918"/>
                    <a:pt x="1164301" y="2121918"/>
                  </a:cubicBezTo>
                  <a:close/>
                  <a:moveTo>
                    <a:pt x="1581153" y="1473396"/>
                  </a:moveTo>
                  <a:cubicBezTo>
                    <a:pt x="1536698" y="1473396"/>
                    <a:pt x="1498555" y="1500425"/>
                    <a:pt x="1482262" y="1538945"/>
                  </a:cubicBezTo>
                  <a:lnTo>
                    <a:pt x="1473828" y="1580721"/>
                  </a:lnTo>
                  <a:lnTo>
                    <a:pt x="1482262" y="1622496"/>
                  </a:lnTo>
                  <a:cubicBezTo>
                    <a:pt x="1498555" y="1661016"/>
                    <a:pt x="1536698" y="1688045"/>
                    <a:pt x="1581153" y="1688045"/>
                  </a:cubicBezTo>
                  <a:lnTo>
                    <a:pt x="2008482" y="1688046"/>
                  </a:lnTo>
                  <a:cubicBezTo>
                    <a:pt x="2067756" y="1688046"/>
                    <a:pt x="2115807" y="1639995"/>
                    <a:pt x="2115807" y="1580721"/>
                  </a:cubicBezTo>
                  <a:lnTo>
                    <a:pt x="2115808" y="1580721"/>
                  </a:lnTo>
                  <a:cubicBezTo>
                    <a:pt x="2115808" y="1521447"/>
                    <a:pt x="2067757" y="1473396"/>
                    <a:pt x="2008483" y="1473396"/>
                  </a:cubicBezTo>
                  <a:close/>
                  <a:moveTo>
                    <a:pt x="1164301" y="1272361"/>
                  </a:moveTo>
                  <a:cubicBezTo>
                    <a:pt x="1136834" y="1272361"/>
                    <a:pt x="1109368" y="1282840"/>
                    <a:pt x="1088411" y="1303796"/>
                  </a:cubicBezTo>
                  <a:lnTo>
                    <a:pt x="744283" y="1647924"/>
                  </a:lnTo>
                  <a:lnTo>
                    <a:pt x="611461" y="1515103"/>
                  </a:lnTo>
                  <a:cubicBezTo>
                    <a:pt x="580026" y="1483668"/>
                    <a:pt x="533944" y="1475810"/>
                    <a:pt x="495185" y="1491527"/>
                  </a:cubicBezTo>
                  <a:lnTo>
                    <a:pt x="459682" y="1515103"/>
                  </a:lnTo>
                  <a:lnTo>
                    <a:pt x="459682" y="1515102"/>
                  </a:lnTo>
                  <a:lnTo>
                    <a:pt x="459681" y="1515103"/>
                  </a:lnTo>
                  <a:lnTo>
                    <a:pt x="459682" y="1515103"/>
                  </a:lnTo>
                  <a:lnTo>
                    <a:pt x="436106" y="1550606"/>
                  </a:lnTo>
                  <a:cubicBezTo>
                    <a:pt x="420389" y="1589365"/>
                    <a:pt x="428247" y="1635447"/>
                    <a:pt x="459682" y="1666882"/>
                  </a:cubicBezTo>
                  <a:lnTo>
                    <a:pt x="668391" y="1875593"/>
                  </a:lnTo>
                  <a:cubicBezTo>
                    <a:pt x="689348" y="1896550"/>
                    <a:pt x="716815" y="1907028"/>
                    <a:pt x="744282" y="1907028"/>
                  </a:cubicBezTo>
                  <a:lnTo>
                    <a:pt x="744283" y="1907028"/>
                  </a:lnTo>
                  <a:cubicBezTo>
                    <a:pt x="758017" y="1907028"/>
                    <a:pt x="771750" y="1904408"/>
                    <a:pt x="784669" y="1899169"/>
                  </a:cubicBezTo>
                  <a:lnTo>
                    <a:pt x="820173" y="1875594"/>
                  </a:lnTo>
                  <a:lnTo>
                    <a:pt x="820175" y="1875591"/>
                  </a:lnTo>
                  <a:lnTo>
                    <a:pt x="1240191" y="1455577"/>
                  </a:lnTo>
                  <a:cubicBezTo>
                    <a:pt x="1282104" y="1413664"/>
                    <a:pt x="1282104" y="1345710"/>
                    <a:pt x="1240191" y="1303797"/>
                  </a:cubicBezTo>
                  <a:lnTo>
                    <a:pt x="1240191" y="1303796"/>
                  </a:lnTo>
                  <a:cubicBezTo>
                    <a:pt x="1219235" y="1282840"/>
                    <a:pt x="1191768" y="1272361"/>
                    <a:pt x="1164301" y="1272361"/>
                  </a:cubicBezTo>
                  <a:close/>
                  <a:moveTo>
                    <a:pt x="224519" y="420258"/>
                  </a:moveTo>
                  <a:lnTo>
                    <a:pt x="419980" y="420258"/>
                  </a:lnTo>
                  <a:lnTo>
                    <a:pt x="419980" y="745536"/>
                  </a:lnTo>
                  <a:cubicBezTo>
                    <a:pt x="419980" y="915420"/>
                    <a:pt x="557698" y="1053138"/>
                    <a:pt x="727582" y="1053138"/>
                  </a:cubicBezTo>
                  <a:lnTo>
                    <a:pt x="1808205" y="1053138"/>
                  </a:lnTo>
                  <a:cubicBezTo>
                    <a:pt x="1978089" y="1053138"/>
                    <a:pt x="2115807" y="915420"/>
                    <a:pt x="2115807" y="745536"/>
                  </a:cubicBezTo>
                  <a:lnTo>
                    <a:pt x="2115807" y="420258"/>
                  </a:lnTo>
                  <a:lnTo>
                    <a:pt x="2311268" y="420258"/>
                  </a:lnTo>
                  <a:cubicBezTo>
                    <a:pt x="2435266" y="420258"/>
                    <a:pt x="2535787" y="520779"/>
                    <a:pt x="2535787" y="644777"/>
                  </a:cubicBezTo>
                  <a:lnTo>
                    <a:pt x="2535787" y="3151571"/>
                  </a:lnTo>
                  <a:cubicBezTo>
                    <a:pt x="2535787" y="3275569"/>
                    <a:pt x="2435266" y="3376090"/>
                    <a:pt x="2311268" y="3376090"/>
                  </a:cubicBezTo>
                  <a:lnTo>
                    <a:pt x="224519" y="3376090"/>
                  </a:lnTo>
                  <a:cubicBezTo>
                    <a:pt x="100521" y="3376090"/>
                    <a:pt x="0" y="3275569"/>
                    <a:pt x="0" y="3151571"/>
                  </a:cubicBezTo>
                  <a:lnTo>
                    <a:pt x="0" y="644777"/>
                  </a:lnTo>
                  <a:cubicBezTo>
                    <a:pt x="0" y="520779"/>
                    <a:pt x="100521" y="420258"/>
                    <a:pt x="224519" y="420258"/>
                  </a:cubicBezTo>
                  <a:close/>
                  <a:moveTo>
                    <a:pt x="1267893" y="0"/>
                  </a:moveTo>
                  <a:cubicBezTo>
                    <a:pt x="1398967" y="0"/>
                    <a:pt x="1511428" y="79692"/>
                    <a:pt x="1559466" y="193267"/>
                  </a:cubicBezTo>
                  <a:lnTo>
                    <a:pt x="1566164" y="214845"/>
                  </a:lnTo>
                  <a:lnTo>
                    <a:pt x="1796853" y="214845"/>
                  </a:lnTo>
                  <a:cubicBezTo>
                    <a:pt x="1855109" y="214845"/>
                    <a:pt x="1902335" y="262071"/>
                    <a:pt x="1902335" y="320327"/>
                  </a:cubicBezTo>
                  <a:lnTo>
                    <a:pt x="1902335" y="742243"/>
                  </a:lnTo>
                  <a:cubicBezTo>
                    <a:pt x="1902335" y="800499"/>
                    <a:pt x="1855109" y="847725"/>
                    <a:pt x="1796853" y="847725"/>
                  </a:cubicBezTo>
                  <a:lnTo>
                    <a:pt x="738934" y="847725"/>
                  </a:lnTo>
                  <a:cubicBezTo>
                    <a:pt x="680678" y="847725"/>
                    <a:pt x="633452" y="800499"/>
                    <a:pt x="633452" y="742243"/>
                  </a:cubicBezTo>
                  <a:lnTo>
                    <a:pt x="633452" y="320327"/>
                  </a:lnTo>
                  <a:cubicBezTo>
                    <a:pt x="633452" y="262071"/>
                    <a:pt x="680678" y="214845"/>
                    <a:pt x="738934" y="214845"/>
                  </a:cubicBezTo>
                  <a:lnTo>
                    <a:pt x="969623" y="214845"/>
                  </a:lnTo>
                  <a:lnTo>
                    <a:pt x="976321" y="193267"/>
                  </a:lnTo>
                  <a:cubicBezTo>
                    <a:pt x="1024359" y="79692"/>
                    <a:pt x="1136820" y="0"/>
                    <a:pt x="1267893" y="0"/>
                  </a:cubicBezTo>
                  <a:close/>
                </a:path>
              </a:pathLst>
            </a:custGeom>
            <a:noFill/>
            <a:ln w="9525" cap="rnd">
              <a:solidFill>
                <a:schemeClr val="bg1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64" name="Agrupar 363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00000000-0008-0000-0400-00006C010000}"/>
              </a:ext>
            </a:extLst>
          </xdr:cNvPr>
          <xdr:cNvGrpSpPr/>
        </xdr:nvGrpSpPr>
        <xdr:grpSpPr>
          <a:xfrm>
            <a:off x="11195664" y="123825"/>
            <a:ext cx="999327" cy="243701"/>
            <a:chOff x="9765034" y="104252"/>
            <a:chExt cx="999581" cy="243701"/>
          </a:xfrm>
        </xdr:grpSpPr>
        <xdr:sp macro="" textlink="">
          <xdr:nvSpPr>
            <xdr:cNvPr id="372" name="Retângulo: Cantos Arredondados 371">
              <a:hlinkClick xmlns:r="http://schemas.openxmlformats.org/officeDocument/2006/relationships" r:id="rId24"/>
              <a:extLst>
                <a:ext uri="{FF2B5EF4-FFF2-40B4-BE49-F238E27FC236}">
                  <a16:creationId xmlns:a16="http://schemas.microsoft.com/office/drawing/2014/main" id="{00000000-0008-0000-0400-000074010000}"/>
                </a:ext>
              </a:extLst>
            </xdr:cNvPr>
            <xdr:cNvSpPr/>
          </xdr:nvSpPr>
          <xdr:spPr>
            <a:xfrm>
              <a:off x="9765034" y="104252"/>
              <a:ext cx="99958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Ligações</a:t>
              </a:r>
            </a:p>
          </xdr:txBody>
        </xdr:sp>
        <xdr:sp macro="" textlink="">
          <xdr:nvSpPr>
            <xdr:cNvPr id="373" name="Forma Livre: Forma 372">
              <a:extLst>
                <a:ext uri="{FF2B5EF4-FFF2-40B4-BE49-F238E27FC236}">
                  <a16:creationId xmlns:a16="http://schemas.microsoft.com/office/drawing/2014/main" id="{00000000-0008-0000-0400-000075010000}"/>
                </a:ext>
              </a:extLst>
            </xdr:cNvPr>
            <xdr:cNvSpPr>
              <a:spLocks noChangeAspect="1"/>
            </xdr:cNvSpPr>
          </xdr:nvSpPr>
          <xdr:spPr>
            <a:xfrm>
              <a:off x="9810751" y="133349"/>
              <a:ext cx="180000" cy="180000"/>
            </a:xfrm>
            <a:custGeom>
              <a:avLst/>
              <a:gdLst>
                <a:gd name="connsiteX0" fmla="*/ 2123136 w 4250872"/>
                <a:gd name="connsiteY0" fmla="*/ 2070418 h 4250872"/>
                <a:gd name="connsiteX1" fmla="*/ 2154685 w 4250872"/>
                <a:gd name="connsiteY1" fmla="*/ 2096189 h 4250872"/>
                <a:gd name="connsiteX2" fmla="*/ 2170560 w 4250872"/>
                <a:gd name="connsiteY2" fmla="*/ 2115622 h 4250872"/>
                <a:gd name="connsiteX3" fmla="*/ 2139010 w 4250872"/>
                <a:gd name="connsiteY3" fmla="*/ 2089852 h 4250872"/>
                <a:gd name="connsiteX4" fmla="*/ 1601747 w 4250872"/>
                <a:gd name="connsiteY4" fmla="*/ 1799924 h 4250872"/>
                <a:gd name="connsiteX5" fmla="*/ 1590811 w 4250872"/>
                <a:gd name="connsiteY5" fmla="*/ 1836827 h 4250872"/>
                <a:gd name="connsiteX6" fmla="*/ 1590811 w 4250872"/>
                <a:gd name="connsiteY6" fmla="*/ 2104985 h 4250872"/>
                <a:gd name="connsiteX7" fmla="*/ 1624149 w 4250872"/>
                <a:gd name="connsiteY7" fmla="*/ 2217478 h 4250872"/>
                <a:gd name="connsiteX8" fmla="*/ 1202591 w 4250872"/>
                <a:gd name="connsiteY8" fmla="*/ 2639037 h 4250872"/>
                <a:gd name="connsiteX9" fmla="*/ 1202591 w 4250872"/>
                <a:gd name="connsiteY9" fmla="*/ 3048283 h 4250872"/>
                <a:gd name="connsiteX10" fmla="*/ 1611837 w 4250872"/>
                <a:gd name="connsiteY10" fmla="*/ 3048283 h 4250872"/>
                <a:gd name="connsiteX11" fmla="*/ 2033396 w 4250872"/>
                <a:gd name="connsiteY11" fmla="*/ 2626725 h 4250872"/>
                <a:gd name="connsiteX12" fmla="*/ 2102651 w 4250872"/>
                <a:gd name="connsiteY12" fmla="*/ 2557470 h 4250872"/>
                <a:gd name="connsiteX13" fmla="*/ 2158846 w 4250872"/>
                <a:gd name="connsiteY13" fmla="*/ 2574124 h 4250872"/>
                <a:gd name="connsiteX14" fmla="*/ 2504731 w 4250872"/>
                <a:gd name="connsiteY14" fmla="*/ 2540640 h 4250872"/>
                <a:gd name="connsiteX15" fmla="*/ 2519089 w 4250872"/>
                <a:gd name="connsiteY15" fmla="*/ 2533084 h 4250872"/>
                <a:gd name="connsiteX16" fmla="*/ 2470838 w 4250872"/>
                <a:gd name="connsiteY16" fmla="*/ 2624776 h 4250872"/>
                <a:gd name="connsiteX17" fmla="*/ 2450947 w 4250872"/>
                <a:gd name="connsiteY17" fmla="*/ 2649129 h 4250872"/>
                <a:gd name="connsiteX18" fmla="*/ 2392710 w 4250872"/>
                <a:gd name="connsiteY18" fmla="*/ 2720423 h 4250872"/>
                <a:gd name="connsiteX19" fmla="*/ 1826826 w 4250872"/>
                <a:gd name="connsiteY19" fmla="*/ 3286306 h 4250872"/>
                <a:gd name="connsiteX20" fmla="*/ 1060213 w 4250872"/>
                <a:gd name="connsiteY20" fmla="*/ 3364435 h 4250872"/>
                <a:gd name="connsiteX21" fmla="*/ 964566 w 4250872"/>
                <a:gd name="connsiteY21" fmla="*/ 3286306 h 4250872"/>
                <a:gd name="connsiteX22" fmla="*/ 886438 w 4250872"/>
                <a:gd name="connsiteY22" fmla="*/ 3190660 h 4250872"/>
                <a:gd name="connsiteX23" fmla="*/ 964567 w 4250872"/>
                <a:gd name="connsiteY23" fmla="*/ 2424047 h 4250872"/>
                <a:gd name="connsiteX24" fmla="*/ 1530449 w 4250872"/>
                <a:gd name="connsiteY24" fmla="*/ 1858164 h 4250872"/>
                <a:gd name="connsiteX25" fmla="*/ 2199462 w 4250872"/>
                <a:gd name="connsiteY25" fmla="*/ 1728672 h 4250872"/>
                <a:gd name="connsiteX26" fmla="*/ 2297062 w 4250872"/>
                <a:gd name="connsiteY26" fmla="*/ 1780034 h 4250872"/>
                <a:gd name="connsiteX27" fmla="*/ 2392709 w 4250872"/>
                <a:gd name="connsiteY27" fmla="*/ 1858163 h 4250872"/>
                <a:gd name="connsiteX28" fmla="*/ 2392710 w 4250872"/>
                <a:gd name="connsiteY28" fmla="*/ 1858162 h 4250872"/>
                <a:gd name="connsiteX29" fmla="*/ 2470839 w 4250872"/>
                <a:gd name="connsiteY29" fmla="*/ 1953809 h 4250872"/>
                <a:gd name="connsiteX30" fmla="*/ 2507023 w 4250872"/>
                <a:gd name="connsiteY30" fmla="*/ 2022568 h 4250872"/>
                <a:gd name="connsiteX31" fmla="*/ 2526645 w 4250872"/>
                <a:gd name="connsiteY31" fmla="*/ 2059857 h 4250872"/>
                <a:gd name="connsiteX32" fmla="*/ 2543475 w 4250872"/>
                <a:gd name="connsiteY32" fmla="*/ 2116644 h 4250872"/>
                <a:gd name="connsiteX33" fmla="*/ 2560128 w 4250872"/>
                <a:gd name="connsiteY33" fmla="*/ 2172840 h 4250872"/>
                <a:gd name="connsiteX34" fmla="*/ 2526644 w 4250872"/>
                <a:gd name="connsiteY34" fmla="*/ 2518725 h 4250872"/>
                <a:gd name="connsiteX35" fmla="*/ 2519089 w 4250872"/>
                <a:gd name="connsiteY35" fmla="*/ 2533083 h 4250872"/>
                <a:gd name="connsiteX36" fmla="*/ 2504731 w 4250872"/>
                <a:gd name="connsiteY36" fmla="*/ 2540638 h 4250872"/>
                <a:gd name="connsiteX37" fmla="*/ 2158846 w 4250872"/>
                <a:gd name="connsiteY37" fmla="*/ 2574122 h 4250872"/>
                <a:gd name="connsiteX38" fmla="*/ 2102651 w 4250872"/>
                <a:gd name="connsiteY38" fmla="*/ 2557468 h 4250872"/>
                <a:gd name="connsiteX39" fmla="*/ 2154685 w 4250872"/>
                <a:gd name="connsiteY39" fmla="*/ 2505434 h 4250872"/>
                <a:gd name="connsiteX40" fmla="*/ 2234146 w 4250872"/>
                <a:gd name="connsiteY40" fmla="*/ 2245541 h 4250872"/>
                <a:gd name="connsiteX41" fmla="*/ 2232196 w 4250872"/>
                <a:gd name="connsiteY41" fmla="*/ 2238963 h 4250872"/>
                <a:gd name="connsiteX42" fmla="*/ 2218254 w 4250872"/>
                <a:gd name="connsiteY42" fmla="*/ 2191917 h 4250872"/>
                <a:gd name="connsiteX43" fmla="*/ 2191767 w 4250872"/>
                <a:gd name="connsiteY43" fmla="*/ 2141583 h 4250872"/>
                <a:gd name="connsiteX44" fmla="*/ 2170560 w 4250872"/>
                <a:gd name="connsiteY44" fmla="*/ 2115620 h 4250872"/>
                <a:gd name="connsiteX45" fmla="*/ 2170561 w 4250872"/>
                <a:gd name="connsiteY45" fmla="*/ 2115621 h 4250872"/>
                <a:gd name="connsiteX46" fmla="*/ 2154686 w 4250872"/>
                <a:gd name="connsiteY46" fmla="*/ 2096188 h 4250872"/>
                <a:gd name="connsiteX47" fmla="*/ 2123136 w 4250872"/>
                <a:gd name="connsiteY47" fmla="*/ 2070417 h 4250872"/>
                <a:gd name="connsiteX48" fmla="*/ 2111763 w 4250872"/>
                <a:gd name="connsiteY48" fmla="*/ 2056493 h 4250872"/>
                <a:gd name="connsiteX49" fmla="*/ 2139011 w 4250872"/>
                <a:gd name="connsiteY49" fmla="*/ 1789123 h 4250872"/>
                <a:gd name="connsiteX50" fmla="*/ 1990827 w 4250872"/>
                <a:gd name="connsiteY50" fmla="*/ 1680281 h 4250872"/>
                <a:gd name="connsiteX51" fmla="*/ 2078030 w 4250872"/>
                <a:gd name="connsiteY51" fmla="*/ 1690745 h 4250872"/>
                <a:gd name="connsiteX52" fmla="*/ 2134228 w 4250872"/>
                <a:gd name="connsiteY52" fmla="*/ 1707399 h 4250872"/>
                <a:gd name="connsiteX53" fmla="*/ 2089421 w 4250872"/>
                <a:gd name="connsiteY53" fmla="*/ 1752206 h 4250872"/>
                <a:gd name="connsiteX54" fmla="*/ 2009960 w 4250872"/>
                <a:gd name="connsiteY54" fmla="*/ 2012100 h 4250872"/>
                <a:gd name="connsiteX55" fmla="*/ 2011910 w 4250872"/>
                <a:gd name="connsiteY55" fmla="*/ 2018676 h 4250872"/>
                <a:gd name="connsiteX56" fmla="*/ 2011910 w 4250872"/>
                <a:gd name="connsiteY56" fmla="*/ 2018677 h 4250872"/>
                <a:gd name="connsiteX57" fmla="*/ 2025853 w 4250872"/>
                <a:gd name="connsiteY57" fmla="*/ 2065723 h 4250872"/>
                <a:gd name="connsiteX58" fmla="*/ 2052340 w 4250872"/>
                <a:gd name="connsiteY58" fmla="*/ 2116056 h 4250872"/>
                <a:gd name="connsiteX59" fmla="*/ 2089419 w 4250872"/>
                <a:gd name="connsiteY59" fmla="*/ 2161450 h 4250872"/>
                <a:gd name="connsiteX60" fmla="*/ 2089422 w 4250872"/>
                <a:gd name="connsiteY60" fmla="*/ 2161452 h 4250872"/>
                <a:gd name="connsiteX61" fmla="*/ 2089424 w 4250872"/>
                <a:gd name="connsiteY61" fmla="*/ 2161455 h 4250872"/>
                <a:gd name="connsiteX62" fmla="*/ 2132715 w 4250872"/>
                <a:gd name="connsiteY62" fmla="*/ 2226648 h 4250872"/>
                <a:gd name="connsiteX63" fmla="*/ 2089423 w 4250872"/>
                <a:gd name="connsiteY63" fmla="*/ 2440168 h 4250872"/>
                <a:gd name="connsiteX64" fmla="*/ 2008575 w 4250872"/>
                <a:gd name="connsiteY64" fmla="*/ 2521016 h 4250872"/>
                <a:gd name="connsiteX65" fmla="*/ 1939815 w 4250872"/>
                <a:gd name="connsiteY65" fmla="*/ 2484833 h 4250872"/>
                <a:gd name="connsiteX66" fmla="*/ 1844168 w 4250872"/>
                <a:gd name="connsiteY66" fmla="*/ 2406704 h 4250872"/>
                <a:gd name="connsiteX67" fmla="*/ 1766040 w 4250872"/>
                <a:gd name="connsiteY67" fmla="*/ 2311058 h 4250872"/>
                <a:gd name="connsiteX68" fmla="*/ 1729857 w 4250872"/>
                <a:gd name="connsiteY68" fmla="*/ 2242300 h 4250872"/>
                <a:gd name="connsiteX69" fmla="*/ 1710234 w 4250872"/>
                <a:gd name="connsiteY69" fmla="*/ 2205009 h 4250872"/>
                <a:gd name="connsiteX70" fmla="*/ 1693404 w 4250872"/>
                <a:gd name="connsiteY70" fmla="*/ 2148223 h 4250872"/>
                <a:gd name="connsiteX71" fmla="*/ 1693403 w 4250872"/>
                <a:gd name="connsiteY71" fmla="*/ 2148224 h 4250872"/>
                <a:gd name="connsiteX72" fmla="*/ 1676749 w 4250872"/>
                <a:gd name="connsiteY72" fmla="*/ 2092027 h 4250872"/>
                <a:gd name="connsiteX73" fmla="*/ 1710233 w 4250872"/>
                <a:gd name="connsiteY73" fmla="*/ 1746141 h 4250872"/>
                <a:gd name="connsiteX74" fmla="*/ 1717788 w 4250872"/>
                <a:gd name="connsiteY74" fmla="*/ 1731782 h 4250872"/>
                <a:gd name="connsiteX75" fmla="*/ 1732144 w 4250872"/>
                <a:gd name="connsiteY75" fmla="*/ 1724228 h 4250872"/>
                <a:gd name="connsiteX76" fmla="*/ 1990827 w 4250872"/>
                <a:gd name="connsiteY76" fmla="*/ 1680281 h 4250872"/>
                <a:gd name="connsiteX77" fmla="*/ 2855175 w 4250872"/>
                <a:gd name="connsiteY77" fmla="*/ 785987 h 4250872"/>
                <a:gd name="connsiteX78" fmla="*/ 3286305 w 4250872"/>
                <a:gd name="connsiteY78" fmla="*/ 964567 h 4250872"/>
                <a:gd name="connsiteX79" fmla="*/ 3286306 w 4250872"/>
                <a:gd name="connsiteY79" fmla="*/ 964566 h 4250872"/>
                <a:gd name="connsiteX80" fmla="*/ 3286306 w 4250872"/>
                <a:gd name="connsiteY80" fmla="*/ 1826826 h 4250872"/>
                <a:gd name="connsiteX81" fmla="*/ 2706427 w 4250872"/>
                <a:gd name="connsiteY81" fmla="*/ 2406705 h 4250872"/>
                <a:gd name="connsiteX82" fmla="*/ 2632339 w 4250872"/>
                <a:gd name="connsiteY82" fmla="*/ 2467223 h 4250872"/>
                <a:gd name="connsiteX83" fmla="*/ 2643060 w 4250872"/>
                <a:gd name="connsiteY83" fmla="*/ 2431050 h 4250872"/>
                <a:gd name="connsiteX84" fmla="*/ 2643060 w 4250872"/>
                <a:gd name="connsiteY84" fmla="*/ 2162892 h 4250872"/>
                <a:gd name="connsiteX85" fmla="*/ 2609722 w 4250872"/>
                <a:gd name="connsiteY85" fmla="*/ 2050399 h 4250872"/>
                <a:gd name="connsiteX86" fmla="*/ 3046620 w 4250872"/>
                <a:gd name="connsiteY86" fmla="*/ 1613500 h 4250872"/>
                <a:gd name="connsiteX87" fmla="*/ 3046620 w 4250872"/>
                <a:gd name="connsiteY87" fmla="*/ 1204254 h 4250872"/>
                <a:gd name="connsiteX88" fmla="*/ 2637374 w 4250872"/>
                <a:gd name="connsiteY88" fmla="*/ 1204254 h 4250872"/>
                <a:gd name="connsiteX89" fmla="*/ 2200475 w 4250872"/>
                <a:gd name="connsiteY89" fmla="*/ 1641152 h 4250872"/>
                <a:gd name="connsiteX90" fmla="*/ 2200474 w 4250872"/>
                <a:gd name="connsiteY90" fmla="*/ 1641151 h 4250872"/>
                <a:gd name="connsiteX91" fmla="*/ 2134228 w 4250872"/>
                <a:gd name="connsiteY91" fmla="*/ 1707398 h 4250872"/>
                <a:gd name="connsiteX92" fmla="*/ 2078029 w 4250872"/>
                <a:gd name="connsiteY92" fmla="*/ 1690744 h 4250872"/>
                <a:gd name="connsiteX93" fmla="*/ 1732143 w 4250872"/>
                <a:gd name="connsiteY93" fmla="*/ 1724227 h 4250872"/>
                <a:gd name="connsiteX94" fmla="*/ 1717787 w 4250872"/>
                <a:gd name="connsiteY94" fmla="*/ 1731781 h 4250872"/>
                <a:gd name="connsiteX95" fmla="*/ 1766039 w 4250872"/>
                <a:gd name="connsiteY95" fmla="*/ 1640092 h 4250872"/>
                <a:gd name="connsiteX96" fmla="*/ 1783649 w 4250872"/>
                <a:gd name="connsiteY96" fmla="*/ 1618534 h 4250872"/>
                <a:gd name="connsiteX97" fmla="*/ 1783651 w 4250872"/>
                <a:gd name="connsiteY97" fmla="*/ 1618533 h 4250872"/>
                <a:gd name="connsiteX98" fmla="*/ 1844168 w 4250872"/>
                <a:gd name="connsiteY98" fmla="*/ 1544446 h 4250872"/>
                <a:gd name="connsiteX99" fmla="*/ 2424045 w 4250872"/>
                <a:gd name="connsiteY99" fmla="*/ 964567 h 4250872"/>
                <a:gd name="connsiteX100" fmla="*/ 2855175 w 4250872"/>
                <a:gd name="connsiteY100" fmla="*/ 785987 h 4250872"/>
                <a:gd name="connsiteX101" fmla="*/ 2125435 w 4250872"/>
                <a:gd name="connsiteY101" fmla="*/ 266463 h 4250872"/>
                <a:gd name="connsiteX102" fmla="*/ 266463 w 4250872"/>
                <a:gd name="connsiteY102" fmla="*/ 2125435 h 4250872"/>
                <a:gd name="connsiteX103" fmla="*/ 2125435 w 4250872"/>
                <a:gd name="connsiteY103" fmla="*/ 3984407 h 4250872"/>
                <a:gd name="connsiteX104" fmla="*/ 3984407 w 4250872"/>
                <a:gd name="connsiteY104" fmla="*/ 2125435 h 4250872"/>
                <a:gd name="connsiteX105" fmla="*/ 2125435 w 4250872"/>
                <a:gd name="connsiteY105" fmla="*/ 266463 h 4250872"/>
                <a:gd name="connsiteX106" fmla="*/ 2125436 w 4250872"/>
                <a:gd name="connsiteY106" fmla="*/ 0 h 4250872"/>
                <a:gd name="connsiteX107" fmla="*/ 4250872 w 4250872"/>
                <a:gd name="connsiteY107" fmla="*/ 2125436 h 4250872"/>
                <a:gd name="connsiteX108" fmla="*/ 2125436 w 4250872"/>
                <a:gd name="connsiteY108" fmla="*/ 4250872 h 4250872"/>
                <a:gd name="connsiteX109" fmla="*/ 0 w 4250872"/>
                <a:gd name="connsiteY109" fmla="*/ 2125436 h 4250872"/>
                <a:gd name="connsiteX110" fmla="*/ 2125436 w 4250872"/>
                <a:gd name="connsiteY110" fmla="*/ 0 h 42508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</a:cxnLst>
              <a:rect l="l" t="t" r="r" b="b"/>
              <a:pathLst>
                <a:path w="4250872" h="4250872">
                  <a:moveTo>
                    <a:pt x="2123136" y="2070418"/>
                  </a:moveTo>
                  <a:lnTo>
                    <a:pt x="2154685" y="2096189"/>
                  </a:lnTo>
                  <a:lnTo>
                    <a:pt x="2170560" y="2115622"/>
                  </a:lnTo>
                  <a:lnTo>
                    <a:pt x="2139010" y="2089852"/>
                  </a:lnTo>
                  <a:close/>
                  <a:moveTo>
                    <a:pt x="1601747" y="1799924"/>
                  </a:moveTo>
                  <a:lnTo>
                    <a:pt x="1590811" y="1836827"/>
                  </a:lnTo>
                  <a:cubicBezTo>
                    <a:pt x="1573677" y="1925326"/>
                    <a:pt x="1573677" y="2016487"/>
                    <a:pt x="1590811" y="2104985"/>
                  </a:cubicBezTo>
                  <a:lnTo>
                    <a:pt x="1624149" y="2217478"/>
                  </a:lnTo>
                  <a:lnTo>
                    <a:pt x="1202591" y="2639037"/>
                  </a:lnTo>
                  <a:cubicBezTo>
                    <a:pt x="1089580" y="2752047"/>
                    <a:pt x="1089580" y="2935273"/>
                    <a:pt x="1202591" y="3048283"/>
                  </a:cubicBezTo>
                  <a:cubicBezTo>
                    <a:pt x="1315601" y="3161294"/>
                    <a:pt x="1498827" y="3161294"/>
                    <a:pt x="1611837" y="3048283"/>
                  </a:cubicBezTo>
                  <a:lnTo>
                    <a:pt x="2033396" y="2626725"/>
                  </a:lnTo>
                  <a:lnTo>
                    <a:pt x="2102651" y="2557470"/>
                  </a:lnTo>
                  <a:lnTo>
                    <a:pt x="2158846" y="2574124"/>
                  </a:lnTo>
                  <a:cubicBezTo>
                    <a:pt x="2274142" y="2596446"/>
                    <a:pt x="2394638" y="2585286"/>
                    <a:pt x="2504731" y="2540640"/>
                  </a:cubicBezTo>
                  <a:lnTo>
                    <a:pt x="2519089" y="2533084"/>
                  </a:lnTo>
                  <a:lnTo>
                    <a:pt x="2470838" y="2624776"/>
                  </a:lnTo>
                  <a:lnTo>
                    <a:pt x="2450947" y="2649129"/>
                  </a:lnTo>
                  <a:lnTo>
                    <a:pt x="2392710" y="2720423"/>
                  </a:lnTo>
                  <a:lnTo>
                    <a:pt x="1826826" y="3286306"/>
                  </a:lnTo>
                  <a:cubicBezTo>
                    <a:pt x="1618483" y="3494650"/>
                    <a:pt x="1296872" y="3520693"/>
                    <a:pt x="1060213" y="3364435"/>
                  </a:cubicBezTo>
                  <a:lnTo>
                    <a:pt x="964566" y="3286306"/>
                  </a:lnTo>
                  <a:lnTo>
                    <a:pt x="886438" y="3190660"/>
                  </a:lnTo>
                  <a:cubicBezTo>
                    <a:pt x="730181" y="2954001"/>
                    <a:pt x="756224" y="2632390"/>
                    <a:pt x="964567" y="2424047"/>
                  </a:cubicBezTo>
                  <a:lnTo>
                    <a:pt x="1530449" y="1858164"/>
                  </a:lnTo>
                  <a:close/>
                  <a:moveTo>
                    <a:pt x="2199462" y="1728672"/>
                  </a:moveTo>
                  <a:lnTo>
                    <a:pt x="2297062" y="1780034"/>
                  </a:lnTo>
                  <a:cubicBezTo>
                    <a:pt x="2330871" y="1802356"/>
                    <a:pt x="2362946" y="1828400"/>
                    <a:pt x="2392709" y="1858163"/>
                  </a:cubicBezTo>
                  <a:lnTo>
                    <a:pt x="2392710" y="1858162"/>
                  </a:lnTo>
                  <a:cubicBezTo>
                    <a:pt x="2422473" y="1887925"/>
                    <a:pt x="2448517" y="1920000"/>
                    <a:pt x="2470839" y="1953809"/>
                  </a:cubicBezTo>
                  <a:lnTo>
                    <a:pt x="2507023" y="2022568"/>
                  </a:lnTo>
                  <a:lnTo>
                    <a:pt x="2526645" y="2059857"/>
                  </a:lnTo>
                  <a:lnTo>
                    <a:pt x="2543475" y="2116644"/>
                  </a:lnTo>
                  <a:lnTo>
                    <a:pt x="2560128" y="2172840"/>
                  </a:lnTo>
                  <a:cubicBezTo>
                    <a:pt x="2582450" y="2288135"/>
                    <a:pt x="2571290" y="2408632"/>
                    <a:pt x="2526644" y="2518725"/>
                  </a:cubicBezTo>
                  <a:lnTo>
                    <a:pt x="2519089" y="2533083"/>
                  </a:lnTo>
                  <a:lnTo>
                    <a:pt x="2504731" y="2540638"/>
                  </a:lnTo>
                  <a:cubicBezTo>
                    <a:pt x="2394638" y="2585284"/>
                    <a:pt x="2274141" y="2596444"/>
                    <a:pt x="2158846" y="2574122"/>
                  </a:cubicBezTo>
                  <a:lnTo>
                    <a:pt x="2102651" y="2557468"/>
                  </a:lnTo>
                  <a:lnTo>
                    <a:pt x="2154685" y="2505434"/>
                  </a:lnTo>
                  <a:cubicBezTo>
                    <a:pt x="2225316" y="2434803"/>
                    <a:pt x="2251803" y="2336743"/>
                    <a:pt x="2234146" y="2245541"/>
                  </a:cubicBezTo>
                  <a:lnTo>
                    <a:pt x="2232196" y="2238963"/>
                  </a:lnTo>
                  <a:lnTo>
                    <a:pt x="2218254" y="2191917"/>
                  </a:lnTo>
                  <a:cubicBezTo>
                    <a:pt x="2211190" y="2174499"/>
                    <a:pt x="2202361" y="2157630"/>
                    <a:pt x="2191767" y="2141583"/>
                  </a:cubicBezTo>
                  <a:lnTo>
                    <a:pt x="2170560" y="2115620"/>
                  </a:lnTo>
                  <a:lnTo>
                    <a:pt x="2170561" y="2115621"/>
                  </a:lnTo>
                  <a:lnTo>
                    <a:pt x="2154686" y="2096188"/>
                  </a:lnTo>
                  <a:lnTo>
                    <a:pt x="2123136" y="2070417"/>
                  </a:lnTo>
                  <a:lnTo>
                    <a:pt x="2111763" y="2056493"/>
                  </a:lnTo>
                  <a:cubicBezTo>
                    <a:pt x="2057265" y="1973954"/>
                    <a:pt x="2066348" y="1861786"/>
                    <a:pt x="2139011" y="1789123"/>
                  </a:cubicBezTo>
                  <a:close/>
                  <a:moveTo>
                    <a:pt x="1990827" y="1680281"/>
                  </a:moveTo>
                  <a:cubicBezTo>
                    <a:pt x="2020057" y="1681676"/>
                    <a:pt x="2049206" y="1685164"/>
                    <a:pt x="2078030" y="1690745"/>
                  </a:cubicBezTo>
                  <a:lnTo>
                    <a:pt x="2134228" y="1707399"/>
                  </a:lnTo>
                  <a:lnTo>
                    <a:pt x="2089421" y="1752206"/>
                  </a:lnTo>
                  <a:cubicBezTo>
                    <a:pt x="2018790" y="1822838"/>
                    <a:pt x="1992303" y="1920898"/>
                    <a:pt x="2009960" y="2012100"/>
                  </a:cubicBezTo>
                  <a:lnTo>
                    <a:pt x="2011910" y="2018676"/>
                  </a:lnTo>
                  <a:lnTo>
                    <a:pt x="2011910" y="2018677"/>
                  </a:lnTo>
                  <a:lnTo>
                    <a:pt x="2025853" y="2065723"/>
                  </a:lnTo>
                  <a:cubicBezTo>
                    <a:pt x="2032916" y="2083141"/>
                    <a:pt x="2041745" y="2100010"/>
                    <a:pt x="2052340" y="2116056"/>
                  </a:cubicBezTo>
                  <a:lnTo>
                    <a:pt x="2089419" y="2161450"/>
                  </a:lnTo>
                  <a:lnTo>
                    <a:pt x="2089422" y="2161452"/>
                  </a:lnTo>
                  <a:lnTo>
                    <a:pt x="2089424" y="2161455"/>
                  </a:lnTo>
                  <a:lnTo>
                    <a:pt x="2132715" y="2226648"/>
                  </a:lnTo>
                  <a:cubicBezTo>
                    <a:pt x="2161577" y="2297821"/>
                    <a:pt x="2147146" y="2382444"/>
                    <a:pt x="2089423" y="2440168"/>
                  </a:cubicBezTo>
                  <a:lnTo>
                    <a:pt x="2008575" y="2521016"/>
                  </a:lnTo>
                  <a:lnTo>
                    <a:pt x="1939815" y="2484833"/>
                  </a:lnTo>
                  <a:lnTo>
                    <a:pt x="1844168" y="2406704"/>
                  </a:lnTo>
                  <a:lnTo>
                    <a:pt x="1766040" y="2311058"/>
                  </a:lnTo>
                  <a:lnTo>
                    <a:pt x="1729857" y="2242300"/>
                  </a:lnTo>
                  <a:lnTo>
                    <a:pt x="1710234" y="2205009"/>
                  </a:lnTo>
                  <a:lnTo>
                    <a:pt x="1693404" y="2148223"/>
                  </a:lnTo>
                  <a:lnTo>
                    <a:pt x="1693403" y="2148224"/>
                  </a:lnTo>
                  <a:lnTo>
                    <a:pt x="1676749" y="2092027"/>
                  </a:lnTo>
                  <a:cubicBezTo>
                    <a:pt x="1654427" y="1976732"/>
                    <a:pt x="1665588" y="1856235"/>
                    <a:pt x="1710233" y="1746141"/>
                  </a:cubicBezTo>
                  <a:lnTo>
                    <a:pt x="1717788" y="1731782"/>
                  </a:lnTo>
                  <a:lnTo>
                    <a:pt x="1732144" y="1724228"/>
                  </a:lnTo>
                  <a:cubicBezTo>
                    <a:pt x="1814715" y="1690745"/>
                    <a:pt x="1903137" y="1676096"/>
                    <a:pt x="1990827" y="1680281"/>
                  </a:cubicBezTo>
                  <a:close/>
                  <a:moveTo>
                    <a:pt x="2855175" y="785987"/>
                  </a:moveTo>
                  <a:cubicBezTo>
                    <a:pt x="3011213" y="785987"/>
                    <a:pt x="3167252" y="845514"/>
                    <a:pt x="3286305" y="964567"/>
                  </a:cubicBezTo>
                  <a:lnTo>
                    <a:pt x="3286306" y="964566"/>
                  </a:lnTo>
                  <a:cubicBezTo>
                    <a:pt x="3524413" y="1202673"/>
                    <a:pt x="3524413" y="1588720"/>
                    <a:pt x="3286306" y="1826826"/>
                  </a:cubicBezTo>
                  <a:lnTo>
                    <a:pt x="2706427" y="2406705"/>
                  </a:lnTo>
                  <a:lnTo>
                    <a:pt x="2632339" y="2467223"/>
                  </a:lnTo>
                  <a:lnTo>
                    <a:pt x="2643060" y="2431050"/>
                  </a:lnTo>
                  <a:cubicBezTo>
                    <a:pt x="2660194" y="2342552"/>
                    <a:pt x="2660194" y="2251391"/>
                    <a:pt x="2643060" y="2162892"/>
                  </a:cubicBezTo>
                  <a:lnTo>
                    <a:pt x="2609722" y="2050399"/>
                  </a:lnTo>
                  <a:lnTo>
                    <a:pt x="3046620" y="1613500"/>
                  </a:lnTo>
                  <a:cubicBezTo>
                    <a:pt x="3159631" y="1500489"/>
                    <a:pt x="3159631" y="1317264"/>
                    <a:pt x="3046620" y="1204254"/>
                  </a:cubicBezTo>
                  <a:cubicBezTo>
                    <a:pt x="2933609" y="1091243"/>
                    <a:pt x="2750384" y="1091243"/>
                    <a:pt x="2637374" y="1204254"/>
                  </a:cubicBezTo>
                  <a:lnTo>
                    <a:pt x="2200475" y="1641152"/>
                  </a:lnTo>
                  <a:lnTo>
                    <a:pt x="2200474" y="1641151"/>
                  </a:lnTo>
                  <a:lnTo>
                    <a:pt x="2134228" y="1707398"/>
                  </a:lnTo>
                  <a:lnTo>
                    <a:pt x="2078029" y="1690744"/>
                  </a:lnTo>
                  <a:cubicBezTo>
                    <a:pt x="1962734" y="1668422"/>
                    <a:pt x="1842238" y="1679582"/>
                    <a:pt x="1732143" y="1724227"/>
                  </a:cubicBezTo>
                  <a:lnTo>
                    <a:pt x="1717787" y="1731781"/>
                  </a:lnTo>
                  <a:lnTo>
                    <a:pt x="1766039" y="1640092"/>
                  </a:lnTo>
                  <a:lnTo>
                    <a:pt x="1783649" y="1618534"/>
                  </a:lnTo>
                  <a:lnTo>
                    <a:pt x="1783651" y="1618533"/>
                  </a:lnTo>
                  <a:lnTo>
                    <a:pt x="1844168" y="1544446"/>
                  </a:lnTo>
                  <a:lnTo>
                    <a:pt x="2424045" y="964567"/>
                  </a:lnTo>
                  <a:cubicBezTo>
                    <a:pt x="2543099" y="845514"/>
                    <a:pt x="2699137" y="785987"/>
                    <a:pt x="2855175" y="785987"/>
                  </a:cubicBezTo>
                  <a:close/>
                  <a:moveTo>
                    <a:pt x="2125435" y="266463"/>
                  </a:moveTo>
                  <a:cubicBezTo>
                    <a:pt x="1098753" y="266463"/>
                    <a:pt x="266463" y="1098753"/>
                    <a:pt x="266463" y="2125435"/>
                  </a:cubicBezTo>
                  <a:cubicBezTo>
                    <a:pt x="266463" y="3152117"/>
                    <a:pt x="1098753" y="3984407"/>
                    <a:pt x="2125435" y="3984407"/>
                  </a:cubicBezTo>
                  <a:cubicBezTo>
                    <a:pt x="3152117" y="3984407"/>
                    <a:pt x="3984407" y="3152117"/>
                    <a:pt x="3984407" y="2125435"/>
                  </a:cubicBezTo>
                  <a:cubicBezTo>
                    <a:pt x="3984407" y="1098753"/>
                    <a:pt x="3152117" y="266463"/>
                    <a:pt x="2125435" y="266463"/>
                  </a:cubicBezTo>
                  <a:close/>
                  <a:moveTo>
                    <a:pt x="2125436" y="0"/>
                  </a:moveTo>
                  <a:cubicBezTo>
                    <a:pt x="3299282" y="0"/>
                    <a:pt x="4250872" y="951590"/>
                    <a:pt x="4250872" y="2125436"/>
                  </a:cubicBezTo>
                  <a:cubicBezTo>
                    <a:pt x="4250872" y="3299282"/>
                    <a:pt x="3299282" y="4250872"/>
                    <a:pt x="2125436" y="4250872"/>
                  </a:cubicBezTo>
                  <a:cubicBezTo>
                    <a:pt x="951590" y="4250872"/>
                    <a:pt x="0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lose/>
                </a:path>
              </a:pathLst>
            </a:custGeom>
            <a:solidFill>
              <a:schemeClr val="bg1"/>
            </a:solidFill>
            <a:ln w="25400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365" name="Agrupar 364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00000000-0008-0000-0400-00006D010000}"/>
              </a:ext>
            </a:extLst>
          </xdr:cNvPr>
          <xdr:cNvGrpSpPr/>
        </xdr:nvGrpSpPr>
        <xdr:grpSpPr>
          <a:xfrm>
            <a:off x="295275" y="125041"/>
            <a:ext cx="2674917" cy="243680"/>
            <a:chOff x="295275" y="125041"/>
            <a:chExt cx="2674917" cy="243680"/>
          </a:xfrm>
        </xdr:grpSpPr>
        <xdr:grpSp>
          <xdr:nvGrpSpPr>
            <xdr:cNvPr id="366" name="Agrupar 365">
              <a:extLst>
                <a:ext uri="{FF2B5EF4-FFF2-40B4-BE49-F238E27FC236}">
                  <a16:creationId xmlns:a16="http://schemas.microsoft.com/office/drawing/2014/main" id="{00000000-0008-0000-0400-00006E010000}"/>
                </a:ext>
              </a:extLst>
            </xdr:cNvPr>
            <xdr:cNvGrpSpPr/>
          </xdr:nvGrpSpPr>
          <xdr:grpSpPr>
            <a:xfrm>
              <a:off x="295275" y="125041"/>
              <a:ext cx="2674917" cy="243680"/>
              <a:chOff x="370665" y="105468"/>
              <a:chExt cx="2671648" cy="244391"/>
            </a:xfrm>
          </xdr:grpSpPr>
          <xdr:sp macro="" textlink="">
            <xdr:nvSpPr>
              <xdr:cNvPr id="368" name="Retângulo: Cantos Arredondados 367">
                <a:extLst>
                  <a:ext uri="{FF2B5EF4-FFF2-40B4-BE49-F238E27FC236}">
                    <a16:creationId xmlns:a16="http://schemas.microsoft.com/office/drawing/2014/main" id="{00000000-0008-0000-0400-000070010000}"/>
                  </a:ext>
                </a:extLst>
              </xdr:cNvPr>
              <xdr:cNvSpPr/>
            </xdr:nvSpPr>
            <xdr:spPr>
              <a:xfrm>
                <a:off x="1199865" y="105468"/>
                <a:ext cx="1842448" cy="244391"/>
              </a:xfrm>
              <a:prstGeom prst="roundRect">
                <a:avLst>
                  <a:gd name="adj" fmla="val 50000"/>
                </a:avLst>
              </a:prstGeom>
              <a:noFill/>
              <a:ln w="285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144000" rIns="0" bIns="72000" rtlCol="0" anchor="ctr"/>
              <a:lstStyle/>
              <a:p>
                <a:pPr marL="0" indent="0" algn="ctr"/>
                <a:r>
                  <a:rPr lang="pt-BR" sz="105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rPr>
                  <a:t>         Treliça Modelo A</a:t>
                </a:r>
              </a:p>
            </xdr:txBody>
          </xdr:sp>
          <xdr:grpSp>
            <xdr:nvGrpSpPr>
              <xdr:cNvPr id="369" name="Agrupar 368">
                <a:extLst>
                  <a:ext uri="{FF2B5EF4-FFF2-40B4-BE49-F238E27FC236}">
                    <a16:creationId xmlns:a16="http://schemas.microsoft.com/office/drawing/2014/main" id="{00000000-0008-0000-0400-000071010000}"/>
                  </a:ext>
                </a:extLst>
              </xdr:cNvPr>
              <xdr:cNvGrpSpPr/>
            </xdr:nvGrpSpPr>
            <xdr:grpSpPr>
              <a:xfrm>
                <a:off x="370665" y="105468"/>
                <a:ext cx="1197484" cy="244391"/>
                <a:chOff x="1941892" y="104252"/>
                <a:chExt cx="1204439" cy="245585"/>
              </a:xfrm>
            </xdr:grpSpPr>
            <xdr:sp macro="" textlink="">
              <xdr:nvSpPr>
                <xdr:cNvPr id="370" name="Retângulo: Cantos Arredondados 369">
                  <a:extLst>
                    <a:ext uri="{FF2B5EF4-FFF2-40B4-BE49-F238E27FC236}">
                      <a16:creationId xmlns:a16="http://schemas.microsoft.com/office/drawing/2014/main" id="{00000000-0008-0000-0400-000072010000}"/>
                    </a:ext>
                  </a:extLst>
                </xdr:cNvPr>
                <xdr:cNvSpPr/>
              </xdr:nvSpPr>
              <xdr:spPr>
                <a:xfrm>
                  <a:off x="1941892" y="104252"/>
                  <a:ext cx="1204439" cy="245585"/>
                </a:xfrm>
                <a:prstGeom prst="roundRect">
                  <a:avLst>
                    <a:gd name="adj" fmla="val 50000"/>
                  </a:avLst>
                </a:prstGeom>
                <a:solidFill>
                  <a:schemeClr val="tx1">
                    <a:lumMod val="85000"/>
                    <a:lumOff val="15000"/>
                  </a:schemeClr>
                </a:solidFill>
                <a:ln w="28575">
                  <a:solidFill>
                    <a:schemeClr val="tx1">
                      <a:lumMod val="85000"/>
                      <a:lumOff val="15000"/>
                    </a:schemeClr>
                  </a:solidFill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144000" rIns="0" bIns="72000" rtlCol="0" anchor="ctr"/>
                <a:lstStyle/>
                <a:p>
                  <a:pPr marL="0" indent="0" algn="ctr"/>
                  <a:r>
                    <a:rPr lang="pt-BR" sz="1100">
                      <a:solidFill>
                        <a:schemeClr val="lt1"/>
                      </a:solidFill>
                      <a:latin typeface="Segoe UI Semibold" panose="020B0702040204020203" pitchFamily="34" charset="0"/>
                      <a:ea typeface="+mn-ea"/>
                      <a:cs typeface="Segoe UI Semibold" panose="020B0702040204020203" pitchFamily="34" charset="0"/>
                    </a:rPr>
                    <a:t>Menu Inicial</a:t>
                  </a:r>
                </a:p>
              </xdr:txBody>
            </xdr:sp>
            <xdr:sp macro="" textlink="">
              <xdr:nvSpPr>
                <xdr:cNvPr id="371" name="Forma Livre: Forma 370">
                  <a:extLst>
                    <a:ext uri="{FF2B5EF4-FFF2-40B4-BE49-F238E27FC236}">
                      <a16:creationId xmlns:a16="http://schemas.microsoft.com/office/drawing/2014/main" id="{00000000-0008-0000-0400-00007301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2017848" y="142345"/>
                  <a:ext cx="169596" cy="160423"/>
                </a:xfrm>
                <a:custGeom>
                  <a:avLst/>
                  <a:gdLst>
                    <a:gd name="connsiteX0" fmla="*/ 2207243 w 3579070"/>
                    <a:gd name="connsiteY0" fmla="*/ 3366545 h 3368926"/>
                    <a:gd name="connsiteX1" fmla="*/ 2535059 w 3579070"/>
                    <a:gd name="connsiteY1" fmla="*/ 3366545 h 3368926"/>
                    <a:gd name="connsiteX2" fmla="*/ 2523265 w 3579070"/>
                    <a:gd name="connsiteY2" fmla="*/ 3368926 h 3368926"/>
                    <a:gd name="connsiteX3" fmla="*/ 2219036 w 3579070"/>
                    <a:gd name="connsiteY3" fmla="*/ 3368926 h 3368926"/>
                    <a:gd name="connsiteX4" fmla="*/ 1789535 w 3579070"/>
                    <a:gd name="connsiteY4" fmla="*/ 0 h 3368926"/>
                    <a:gd name="connsiteX5" fmla="*/ 2012243 w 3579070"/>
                    <a:gd name="connsiteY5" fmla="*/ 92249 h 3368926"/>
                    <a:gd name="connsiteX6" fmla="*/ 2012247 w 3579070"/>
                    <a:gd name="connsiteY6" fmla="*/ 92254 h 3368926"/>
                    <a:gd name="connsiteX7" fmla="*/ 3486822 w 3579070"/>
                    <a:gd name="connsiteY7" fmla="*/ 1566828 h 3368926"/>
                    <a:gd name="connsiteX8" fmla="*/ 3486822 w 3579070"/>
                    <a:gd name="connsiteY8" fmla="*/ 2012243 h 3368926"/>
                    <a:gd name="connsiteX9" fmla="*/ 3203960 w 3579070"/>
                    <a:gd name="connsiteY9" fmla="*/ 2098726 h 3368926"/>
                    <a:gd name="connsiteX10" fmla="*/ 3147176 w 3579070"/>
                    <a:gd name="connsiteY10" fmla="*/ 2081898 h 3368926"/>
                    <a:gd name="connsiteX11" fmla="*/ 3147176 w 3579070"/>
                    <a:gd name="connsiteY11" fmla="*/ 2993894 h 3368926"/>
                    <a:gd name="connsiteX12" fmla="*/ 2774526 w 3579070"/>
                    <a:gd name="connsiteY12" fmla="*/ 3366544 h 3368926"/>
                    <a:gd name="connsiteX13" fmla="*/ 2535059 w 3579070"/>
                    <a:gd name="connsiteY13" fmla="*/ 3366544 h 3368926"/>
                    <a:gd name="connsiteX14" fmla="*/ 2207243 w 3579070"/>
                    <a:gd name="connsiteY14" fmla="*/ 3366544 h 3368926"/>
                    <a:gd name="connsiteX15" fmla="*/ 2182467 w 3579070"/>
                    <a:gd name="connsiteY15" fmla="*/ 3361542 h 3368926"/>
                    <a:gd name="connsiteX16" fmla="*/ 2132471 w 3579070"/>
                    <a:gd name="connsiteY16" fmla="*/ 3311546 h 3368926"/>
                    <a:gd name="connsiteX17" fmla="*/ 2127469 w 3579070"/>
                    <a:gd name="connsiteY17" fmla="*/ 3286771 h 3368926"/>
                    <a:gd name="connsiteX18" fmla="*/ 2127469 w 3579070"/>
                    <a:gd name="connsiteY18" fmla="*/ 3286772 h 3368926"/>
                    <a:gd name="connsiteX19" fmla="*/ 2125088 w 3579070"/>
                    <a:gd name="connsiteY19" fmla="*/ 3274978 h 3368926"/>
                    <a:gd name="connsiteX20" fmla="*/ 2125088 w 3579070"/>
                    <a:gd name="connsiteY20" fmla="*/ 3079022 h 3368926"/>
                    <a:gd name="connsiteX21" fmla="*/ 2126378 w 3579070"/>
                    <a:gd name="connsiteY21" fmla="*/ 3072633 h 3368926"/>
                    <a:gd name="connsiteX22" fmla="*/ 2126378 w 3579070"/>
                    <a:gd name="connsiteY22" fmla="*/ 2991827 h 3368926"/>
                    <a:gd name="connsiteX23" fmla="*/ 2127469 w 3579070"/>
                    <a:gd name="connsiteY23" fmla="*/ 2986423 h 3368926"/>
                    <a:gd name="connsiteX24" fmla="*/ 2127469 w 3579070"/>
                    <a:gd name="connsiteY24" fmla="*/ 2455209 h 3368926"/>
                    <a:gd name="connsiteX25" fmla="*/ 1962922 w 3579070"/>
                    <a:gd name="connsiteY25" fmla="*/ 2290662 h 3368926"/>
                    <a:gd name="connsiteX26" fmla="*/ 1619710 w 3579070"/>
                    <a:gd name="connsiteY26" fmla="*/ 2290662 h 3368926"/>
                    <a:gd name="connsiteX27" fmla="*/ 1455163 w 3579070"/>
                    <a:gd name="connsiteY27" fmla="*/ 2455209 h 3368926"/>
                    <a:gd name="connsiteX28" fmla="*/ 1455163 w 3579070"/>
                    <a:gd name="connsiteY28" fmla="*/ 3067228 h 3368926"/>
                    <a:gd name="connsiteX29" fmla="*/ 1452782 w 3579070"/>
                    <a:gd name="connsiteY29" fmla="*/ 3055435 h 3368926"/>
                    <a:gd name="connsiteX30" fmla="*/ 1452782 w 3579070"/>
                    <a:gd name="connsiteY30" fmla="*/ 3055436 h 3368926"/>
                    <a:gd name="connsiteX31" fmla="*/ 1455163 w 3579070"/>
                    <a:gd name="connsiteY31" fmla="*/ 3067229 h 3368926"/>
                    <a:gd name="connsiteX32" fmla="*/ 1457544 w 3579070"/>
                    <a:gd name="connsiteY32" fmla="*/ 3079022 h 3368926"/>
                    <a:gd name="connsiteX33" fmla="*/ 1457544 w 3579070"/>
                    <a:gd name="connsiteY33" fmla="*/ 3274978 h 3368926"/>
                    <a:gd name="connsiteX34" fmla="*/ 1455163 w 3579070"/>
                    <a:gd name="connsiteY34" fmla="*/ 3286772 h 3368926"/>
                    <a:gd name="connsiteX35" fmla="*/ 1450161 w 3579070"/>
                    <a:gd name="connsiteY35" fmla="*/ 3311547 h 3368926"/>
                    <a:gd name="connsiteX36" fmla="*/ 1400165 w 3579070"/>
                    <a:gd name="connsiteY36" fmla="*/ 3361543 h 3368926"/>
                    <a:gd name="connsiteX37" fmla="*/ 1375389 w 3579070"/>
                    <a:gd name="connsiteY37" fmla="*/ 3366545 h 3368926"/>
                    <a:gd name="connsiteX38" fmla="*/ 1363596 w 3579070"/>
                    <a:gd name="connsiteY38" fmla="*/ 3368926 h 3368926"/>
                    <a:gd name="connsiteX39" fmla="*/ 1059367 w 3579070"/>
                    <a:gd name="connsiteY39" fmla="*/ 3368926 h 3368926"/>
                    <a:gd name="connsiteX40" fmla="*/ 1047573 w 3579070"/>
                    <a:gd name="connsiteY40" fmla="*/ 3366545 h 3368926"/>
                    <a:gd name="connsiteX41" fmla="*/ 1047568 w 3579070"/>
                    <a:gd name="connsiteY41" fmla="*/ 3366544 h 3368926"/>
                    <a:gd name="connsiteX42" fmla="*/ 804543 w 3579070"/>
                    <a:gd name="connsiteY42" fmla="*/ 3366544 h 3368926"/>
                    <a:gd name="connsiteX43" fmla="*/ 431893 w 3579070"/>
                    <a:gd name="connsiteY43" fmla="*/ 2993894 h 3368926"/>
                    <a:gd name="connsiteX44" fmla="*/ 431893 w 3579070"/>
                    <a:gd name="connsiteY44" fmla="*/ 2081898 h 3368926"/>
                    <a:gd name="connsiteX45" fmla="*/ 375110 w 3579070"/>
                    <a:gd name="connsiteY45" fmla="*/ 2098726 h 3368926"/>
                    <a:gd name="connsiteX46" fmla="*/ 92248 w 3579070"/>
                    <a:gd name="connsiteY46" fmla="*/ 2012243 h 3368926"/>
                    <a:gd name="connsiteX47" fmla="*/ 92248 w 3579070"/>
                    <a:gd name="connsiteY47" fmla="*/ 1566828 h 3368926"/>
                    <a:gd name="connsiteX48" fmla="*/ 1566823 w 3579070"/>
                    <a:gd name="connsiteY48" fmla="*/ 92254 h 3368926"/>
                    <a:gd name="connsiteX49" fmla="*/ 1566827 w 3579070"/>
                    <a:gd name="connsiteY49" fmla="*/ 92249 h 3368926"/>
                    <a:gd name="connsiteX50" fmla="*/ 1729380 w 3579070"/>
                    <a:gd name="connsiteY50" fmla="*/ 5766 h 3368926"/>
                    <a:gd name="connsiteX51" fmla="*/ 1784115 w 3579070"/>
                    <a:gd name="connsiteY51" fmla="*/ 520 h 336892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  <a:cxn ang="0">
                      <a:pos x="connsiteX51" y="connsiteY51"/>
                    </a:cxn>
                  </a:cxnLst>
                  <a:rect l="l" t="t" r="r" b="b"/>
                  <a:pathLst>
                    <a:path w="3579070" h="3368926">
                      <a:moveTo>
                        <a:pt x="2207243" y="3366545"/>
                      </a:moveTo>
                      <a:lnTo>
                        <a:pt x="2535059" y="3366545"/>
                      </a:lnTo>
                      <a:lnTo>
                        <a:pt x="2523265" y="3368926"/>
                      </a:lnTo>
                      <a:lnTo>
                        <a:pt x="2219036" y="3368926"/>
                      </a:lnTo>
                      <a:close/>
                      <a:moveTo>
                        <a:pt x="1789535" y="0"/>
                      </a:moveTo>
                      <a:cubicBezTo>
                        <a:pt x="1870140" y="0"/>
                        <a:pt x="1950744" y="30750"/>
                        <a:pt x="2012243" y="92249"/>
                      </a:cubicBezTo>
                      <a:lnTo>
                        <a:pt x="2012247" y="92254"/>
                      </a:lnTo>
                      <a:lnTo>
                        <a:pt x="3486822" y="1566828"/>
                      </a:lnTo>
                      <a:cubicBezTo>
                        <a:pt x="3609820" y="1689826"/>
                        <a:pt x="3609820" y="1889246"/>
                        <a:pt x="3486822" y="2012243"/>
                      </a:cubicBezTo>
                      <a:cubicBezTo>
                        <a:pt x="3409949" y="2089117"/>
                        <a:pt x="3303223" y="2117945"/>
                        <a:pt x="3203960" y="2098726"/>
                      </a:cubicBezTo>
                      <a:lnTo>
                        <a:pt x="3147176" y="2081898"/>
                      </a:lnTo>
                      <a:lnTo>
                        <a:pt x="3147176" y="2993894"/>
                      </a:lnTo>
                      <a:cubicBezTo>
                        <a:pt x="3147176" y="3199703"/>
                        <a:pt x="2980335" y="3366544"/>
                        <a:pt x="2774526" y="3366544"/>
                      </a:cubicBezTo>
                      <a:lnTo>
                        <a:pt x="2535059" y="3366544"/>
                      </a:lnTo>
                      <a:lnTo>
                        <a:pt x="2207243" y="3366544"/>
                      </a:lnTo>
                      <a:lnTo>
                        <a:pt x="2182467" y="3361542"/>
                      </a:lnTo>
                      <a:cubicBezTo>
                        <a:pt x="2159988" y="3352034"/>
                        <a:pt x="2141979" y="3334026"/>
                        <a:pt x="2132471" y="3311546"/>
                      </a:cubicBezTo>
                      <a:lnTo>
                        <a:pt x="2127469" y="3286771"/>
                      </a:lnTo>
                      <a:lnTo>
                        <a:pt x="2127469" y="3286772"/>
                      </a:lnTo>
                      <a:lnTo>
                        <a:pt x="2125088" y="3274978"/>
                      </a:lnTo>
                      <a:lnTo>
                        <a:pt x="2125088" y="3079022"/>
                      </a:lnTo>
                      <a:lnTo>
                        <a:pt x="2126378" y="3072633"/>
                      </a:lnTo>
                      <a:lnTo>
                        <a:pt x="2126378" y="2991827"/>
                      </a:lnTo>
                      <a:lnTo>
                        <a:pt x="2127469" y="2986423"/>
                      </a:lnTo>
                      <a:lnTo>
                        <a:pt x="2127469" y="2455209"/>
                      </a:lnTo>
                      <a:cubicBezTo>
                        <a:pt x="2127469" y="2364332"/>
                        <a:pt x="2053799" y="2290662"/>
                        <a:pt x="1962922" y="2290662"/>
                      </a:cubicBezTo>
                      <a:lnTo>
                        <a:pt x="1619710" y="2290662"/>
                      </a:lnTo>
                      <a:cubicBezTo>
                        <a:pt x="1528833" y="2290662"/>
                        <a:pt x="1455163" y="2364332"/>
                        <a:pt x="1455163" y="2455209"/>
                      </a:cubicBezTo>
                      <a:lnTo>
                        <a:pt x="1455163" y="3067228"/>
                      </a:lnTo>
                      <a:lnTo>
                        <a:pt x="1452782" y="3055435"/>
                      </a:lnTo>
                      <a:lnTo>
                        <a:pt x="1452782" y="3055436"/>
                      </a:lnTo>
                      <a:lnTo>
                        <a:pt x="1455163" y="3067229"/>
                      </a:lnTo>
                      <a:lnTo>
                        <a:pt x="1457544" y="3079022"/>
                      </a:lnTo>
                      <a:lnTo>
                        <a:pt x="1457544" y="3274978"/>
                      </a:lnTo>
                      <a:lnTo>
                        <a:pt x="1455163" y="3286772"/>
                      </a:lnTo>
                      <a:lnTo>
                        <a:pt x="1450161" y="3311547"/>
                      </a:lnTo>
                      <a:cubicBezTo>
                        <a:pt x="1440653" y="3334027"/>
                        <a:pt x="1422644" y="3352035"/>
                        <a:pt x="1400165" y="3361543"/>
                      </a:cubicBezTo>
                      <a:lnTo>
                        <a:pt x="1375389" y="3366545"/>
                      </a:lnTo>
                      <a:lnTo>
                        <a:pt x="1363596" y="3368926"/>
                      </a:lnTo>
                      <a:lnTo>
                        <a:pt x="1059367" y="3368926"/>
                      </a:lnTo>
                      <a:lnTo>
                        <a:pt x="1047573" y="3366545"/>
                      </a:lnTo>
                      <a:lnTo>
                        <a:pt x="1047568" y="3366544"/>
                      </a:lnTo>
                      <a:lnTo>
                        <a:pt x="804543" y="3366544"/>
                      </a:lnTo>
                      <a:cubicBezTo>
                        <a:pt x="598734" y="3366544"/>
                        <a:pt x="431893" y="3199703"/>
                        <a:pt x="431893" y="2993894"/>
                      </a:cubicBezTo>
                      <a:lnTo>
                        <a:pt x="431893" y="2081898"/>
                      </a:lnTo>
                      <a:lnTo>
                        <a:pt x="375110" y="2098726"/>
                      </a:lnTo>
                      <a:cubicBezTo>
                        <a:pt x="275847" y="2117945"/>
                        <a:pt x="169121" y="2089117"/>
                        <a:pt x="92248" y="2012243"/>
                      </a:cubicBezTo>
                      <a:cubicBezTo>
                        <a:pt x="-30750" y="1889246"/>
                        <a:pt x="-30750" y="1689826"/>
                        <a:pt x="92248" y="1566828"/>
                      </a:cubicBezTo>
                      <a:lnTo>
                        <a:pt x="1566823" y="92254"/>
                      </a:lnTo>
                      <a:lnTo>
                        <a:pt x="1566827" y="92249"/>
                      </a:lnTo>
                      <a:cubicBezTo>
                        <a:pt x="1612951" y="46124"/>
                        <a:pt x="1669822" y="17297"/>
                        <a:pt x="1729380" y="5766"/>
                      </a:cubicBezTo>
                      <a:lnTo>
                        <a:pt x="1784115" y="520"/>
                      </a:lnTo>
                      <a:close/>
                    </a:path>
                  </a:pathLst>
                </a:custGeom>
                <a:noFill/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/>
                </a:p>
              </xdr:txBody>
            </xdr:sp>
          </xdr:grpSp>
        </xdr:grpSp>
        <xdr:sp macro="" textlink="">
          <xdr:nvSpPr>
            <xdr:cNvPr id="367" name="Forma Livre: Forma 366">
              <a:extLst>
                <a:ext uri="{FF2B5EF4-FFF2-40B4-BE49-F238E27FC236}">
                  <a16:creationId xmlns:a16="http://schemas.microsoft.com/office/drawing/2014/main" id="{00000000-0008-0000-0400-00006F010000}"/>
                </a:ext>
              </a:extLst>
            </xdr:cNvPr>
            <xdr:cNvSpPr/>
          </xdr:nvSpPr>
          <xdr:spPr>
            <a:xfrm>
              <a:off x="1569244" y="190501"/>
              <a:ext cx="176212" cy="90310"/>
            </a:xfrm>
            <a:custGeom>
              <a:avLst/>
              <a:gdLst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53778 w 8618536"/>
                <a:gd name="connsiteY41" fmla="*/ 1609322 h 2668736"/>
                <a:gd name="connsiteX42" fmla="*/ 1865802 w 8618536"/>
                <a:gd name="connsiteY42" fmla="*/ 1609322 h 2668736"/>
                <a:gd name="connsiteX43" fmla="*/ 442396 w 8618536"/>
                <a:gd name="connsiteY43" fmla="*/ 2433210 h 2668736"/>
                <a:gd name="connsiteX44" fmla="*/ 1855398 w 8618536"/>
                <a:gd name="connsiteY44" fmla="*/ 2433210 h 2668736"/>
                <a:gd name="connsiteX45" fmla="*/ 1853778 w 8618536"/>
                <a:gd name="connsiteY45" fmla="*/ 2434185 h 2668736"/>
                <a:gd name="connsiteX46" fmla="*/ 2822946 w 8618536"/>
                <a:gd name="connsiteY46" fmla="*/ 2434185 h 2668736"/>
                <a:gd name="connsiteX47" fmla="*/ 2821326 w 8618536"/>
                <a:gd name="connsiteY47" fmla="*/ 2433210 h 2668736"/>
                <a:gd name="connsiteX48" fmla="*/ 4190999 w 8618536"/>
                <a:gd name="connsiteY48" fmla="*/ 2433210 h 2668736"/>
                <a:gd name="connsiteX49" fmla="*/ 4190999 w 8618536"/>
                <a:gd name="connsiteY49" fmla="*/ 2408443 h 2668736"/>
                <a:gd name="connsiteX50" fmla="*/ 2810382 w 8618536"/>
                <a:gd name="connsiteY50" fmla="*/ 1609322 h 2668736"/>
                <a:gd name="connsiteX51" fmla="*/ 2822946 w 8618536"/>
                <a:gd name="connsiteY51" fmla="*/ 1609322 h 2668736"/>
                <a:gd name="connsiteX52" fmla="*/ 2338362 w 8618536"/>
                <a:gd name="connsiteY52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10382 w 8618536"/>
                <a:gd name="connsiteY49" fmla="*/ 1609322 h 2668736"/>
                <a:gd name="connsiteX50" fmla="*/ 2822946 w 8618536"/>
                <a:gd name="connsiteY50" fmla="*/ 1609322 h 2668736"/>
                <a:gd name="connsiteX51" fmla="*/ 2338362 w 8618536"/>
                <a:gd name="connsiteY51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22946 w 8618536"/>
                <a:gd name="connsiteY49" fmla="*/ 1609322 h 2668736"/>
                <a:gd name="connsiteX50" fmla="*/ 2338362 w 8618536"/>
                <a:gd name="connsiteY50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4190999 w 8618536"/>
                <a:gd name="connsiteY47" fmla="*/ 2408443 h 2668736"/>
                <a:gd name="connsiteX48" fmla="*/ 2822946 w 8618536"/>
                <a:gd name="connsiteY48" fmla="*/ 1609322 h 2668736"/>
                <a:gd name="connsiteX49" fmla="*/ 2338362 w 8618536"/>
                <a:gd name="connsiteY49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86851 w 8618536"/>
                <a:gd name="connsiteY27" fmla="*/ 243956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62225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</a:cxnLst>
              <a:rect l="l" t="t" r="r" b="b"/>
              <a:pathLst>
                <a:path w="8618536" h="2668736">
                  <a:moveTo>
                    <a:pt x="4417215" y="0"/>
                  </a:moveTo>
                  <a:lnTo>
                    <a:pt x="8611683" y="2427820"/>
                  </a:lnTo>
                  <a:lnTo>
                    <a:pt x="8618088" y="2433210"/>
                  </a:lnTo>
                  <a:cubicBezTo>
                    <a:pt x="8618237" y="2509338"/>
                    <a:pt x="8618387" y="2585466"/>
                    <a:pt x="8618536" y="2661594"/>
                  </a:cubicBezTo>
                  <a:lnTo>
                    <a:pt x="6369626" y="2659212"/>
                  </a:lnTo>
                  <a:lnTo>
                    <a:pt x="6143624" y="2659212"/>
                  </a:lnTo>
                  <a:lnTo>
                    <a:pt x="4417001" y="2659212"/>
                  </a:lnTo>
                  <a:lnTo>
                    <a:pt x="4417001" y="2659213"/>
                  </a:lnTo>
                  <a:lnTo>
                    <a:pt x="4190999" y="2659213"/>
                  </a:lnTo>
                  <a:lnTo>
                    <a:pt x="4190999" y="2659212"/>
                  </a:lnTo>
                  <a:lnTo>
                    <a:pt x="0" y="2668736"/>
                  </a:lnTo>
                  <a:cubicBezTo>
                    <a:pt x="1226" y="2590227"/>
                    <a:pt x="2451" y="2511719"/>
                    <a:pt x="3677" y="2433210"/>
                  </a:cubicBezTo>
                  <a:lnTo>
                    <a:pt x="558" y="2427822"/>
                  </a:lnTo>
                  <a:lnTo>
                    <a:pt x="4190999" y="2333"/>
                  </a:lnTo>
                  <a:lnTo>
                    <a:pt x="4190999" y="5"/>
                  </a:lnTo>
                  <a:lnTo>
                    <a:pt x="4195022" y="5"/>
                  </a:lnTo>
                  <a:cubicBezTo>
                    <a:pt x="4195024" y="4"/>
                    <a:pt x="4195025" y="3"/>
                    <a:pt x="4195027" y="2"/>
                  </a:cubicBezTo>
                  <a:cubicBezTo>
                    <a:pt x="4195028" y="3"/>
                    <a:pt x="4195028" y="4"/>
                    <a:pt x="4195029" y="5"/>
                  </a:cubicBezTo>
                  <a:lnTo>
                    <a:pt x="4417001" y="5"/>
                  </a:lnTo>
                  <a:lnTo>
                    <a:pt x="4417001" y="369"/>
                  </a:lnTo>
                  <a:lnTo>
                    <a:pt x="4417215" y="0"/>
                  </a:lnTo>
                  <a:close/>
                  <a:moveTo>
                    <a:pt x="4417001" y="261007"/>
                  </a:moveTo>
                  <a:cubicBezTo>
                    <a:pt x="4414884" y="924111"/>
                    <a:pt x="4412768" y="1599121"/>
                    <a:pt x="4410651" y="2262225"/>
                  </a:cubicBezTo>
                  <a:lnTo>
                    <a:pt x="6044928" y="1203275"/>
                  </a:lnTo>
                  <a:lnTo>
                    <a:pt x="4417001" y="261007"/>
                  </a:lnTo>
                  <a:close/>
                  <a:moveTo>
                    <a:pt x="6268587" y="1324844"/>
                  </a:moveTo>
                  <a:lnTo>
                    <a:pt x="5828997" y="1589390"/>
                  </a:lnTo>
                  <a:lnTo>
                    <a:pt x="4524951" y="2441941"/>
                  </a:lnTo>
                  <a:lnTo>
                    <a:pt x="5785622" y="2433210"/>
                  </a:lnTo>
                  <a:lnTo>
                    <a:pt x="5784003" y="2434184"/>
                  </a:lnTo>
                  <a:lnTo>
                    <a:pt x="6753171" y="2434184"/>
                  </a:lnTo>
                  <a:lnTo>
                    <a:pt x="6751553" y="2433210"/>
                  </a:lnTo>
                  <a:lnTo>
                    <a:pt x="8169849" y="2433210"/>
                  </a:lnTo>
                  <a:lnTo>
                    <a:pt x="6611755" y="1531363"/>
                  </a:lnTo>
                  <a:lnTo>
                    <a:pt x="6268587" y="1324844"/>
                  </a:lnTo>
                  <a:close/>
                  <a:moveTo>
                    <a:pt x="4190999" y="263464"/>
                  </a:moveTo>
                  <a:lnTo>
                    <a:pt x="2563665" y="1205389"/>
                  </a:lnTo>
                  <a:lnTo>
                    <a:pt x="4187824" y="2252089"/>
                  </a:lnTo>
                  <a:cubicBezTo>
                    <a:pt x="4188882" y="1589214"/>
                    <a:pt x="4189941" y="926339"/>
                    <a:pt x="4190999" y="263464"/>
                  </a:cubicBezTo>
                  <a:close/>
                  <a:moveTo>
                    <a:pt x="2338362" y="1317699"/>
                  </a:moveTo>
                  <a:lnTo>
                    <a:pt x="1865802" y="1609322"/>
                  </a:lnTo>
                  <a:lnTo>
                    <a:pt x="442396" y="2433210"/>
                  </a:lnTo>
                  <a:lnTo>
                    <a:pt x="1855398" y="2433210"/>
                  </a:lnTo>
                  <a:lnTo>
                    <a:pt x="1853778" y="2434185"/>
                  </a:lnTo>
                  <a:lnTo>
                    <a:pt x="2822946" y="2434185"/>
                  </a:lnTo>
                  <a:lnTo>
                    <a:pt x="2821326" y="2433210"/>
                  </a:lnTo>
                  <a:lnTo>
                    <a:pt x="4063999" y="2423685"/>
                  </a:lnTo>
                  <a:lnTo>
                    <a:pt x="2822946" y="1609322"/>
                  </a:lnTo>
                  <a:lnTo>
                    <a:pt x="2338362" y="1317699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solidFill>
                <a:schemeClr val="bg1"/>
              </a:solidFill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  <xdr:twoCellAnchor>
    <xdr:from>
      <xdr:col>5</xdr:col>
      <xdr:colOff>907448</xdr:colOff>
      <xdr:row>79</xdr:row>
      <xdr:rowOff>69346</xdr:rowOff>
    </xdr:from>
    <xdr:to>
      <xdr:col>6</xdr:col>
      <xdr:colOff>646595</xdr:colOff>
      <xdr:row>80</xdr:row>
      <xdr:rowOff>50482</xdr:rowOff>
    </xdr:to>
    <xdr:sp macro="" textlink="AXB!T73">
      <xdr:nvSpPr>
        <xdr:cNvPr id="230" name="Retângulo 229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5146073" y="16566646"/>
          <a:ext cx="672597" cy="1906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B762E8C1-C951-4326-A209-F81EED96017F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0,5713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11</xdr:col>
      <xdr:colOff>250557</xdr:colOff>
      <xdr:row>78</xdr:row>
      <xdr:rowOff>41971</xdr:rowOff>
    </xdr:from>
    <xdr:to>
      <xdr:col>11</xdr:col>
      <xdr:colOff>775395</xdr:colOff>
      <xdr:row>79</xdr:row>
      <xdr:rowOff>64870</xdr:rowOff>
    </xdr:to>
    <xdr:sp macro="" textlink="AXB!V91">
      <xdr:nvSpPr>
        <xdr:cNvPr id="231" name="Retângulo 230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9241477" y="16424971"/>
          <a:ext cx="524838" cy="2338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DB6CE141-6E8F-46F9-AC8E-D5B4A004CA2D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0,4787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12</xdr:col>
      <xdr:colOff>109351</xdr:colOff>
      <xdr:row>79</xdr:row>
      <xdr:rowOff>32237</xdr:rowOff>
    </xdr:from>
    <xdr:to>
      <xdr:col>12</xdr:col>
      <xdr:colOff>634189</xdr:colOff>
      <xdr:row>80</xdr:row>
      <xdr:rowOff>54481</xdr:rowOff>
    </xdr:to>
    <xdr:sp macro="" textlink="AXB!W92">
      <xdr:nvSpPr>
        <xdr:cNvPr id="233" name="Retângulo 232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/>
      </xdr:nvSpPr>
      <xdr:spPr>
        <a:xfrm>
          <a:off x="10005146" y="16626148"/>
          <a:ext cx="524838" cy="2331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8AE460E-B993-475D-A37E-0B7DC754D6A5}" type="TxLink">
            <a:rPr lang="en-US" sz="800" b="0" i="0" u="none" strike="noStrike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pPr algn="l"/>
            <a:t>0,8646</a:t>
          </a:fld>
          <a:endParaRPr lang="pt-BR" sz="400">
            <a:solidFill>
              <a:srgbClr val="FD3F0B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</xdr:col>
      <xdr:colOff>838200</xdr:colOff>
      <xdr:row>10</xdr:row>
      <xdr:rowOff>133350</xdr:rowOff>
    </xdr:from>
    <xdr:to>
      <xdr:col>5</xdr:col>
      <xdr:colOff>254277</xdr:colOff>
      <xdr:row>11</xdr:row>
      <xdr:rowOff>128307</xdr:rowOff>
    </xdr:to>
    <xdr:sp macro="" textlink="">
      <xdr:nvSpPr>
        <xdr:cNvPr id="234" name="Retângulo: Cantos Arredondados 233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1704975" y="2171700"/>
          <a:ext cx="2787927" cy="204507"/>
        </a:xfrm>
        <a:prstGeom prst="roundRect">
          <a:avLst>
            <a:gd name="adj" fmla="val 50000"/>
          </a:avLst>
        </a:prstGeom>
        <a:solidFill>
          <a:srgbClr val="343B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0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Ilustrações</a:t>
          </a:r>
          <a:r>
            <a:rPr lang="pt-BR" sz="1000" b="1" baseline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com Dimensões Fora de Proporção</a:t>
          </a:r>
          <a:endParaRPr lang="pt-BR" sz="1000" b="1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298174</xdr:colOff>
      <xdr:row>6</xdr:row>
      <xdr:rowOff>140805</xdr:rowOff>
    </xdr:from>
    <xdr:to>
      <xdr:col>31</xdr:col>
      <xdr:colOff>1032201</xdr:colOff>
      <xdr:row>13</xdr:row>
      <xdr:rowOff>72226</xdr:rowOff>
    </xdr:to>
    <xdr:pic>
      <xdr:nvPicPr>
        <xdr:cNvPr id="95" name="Imagem 94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70348" y="1192696"/>
          <a:ext cx="3997568" cy="1367202"/>
        </a:xfrm>
        <a:prstGeom prst="rect">
          <a:avLst/>
        </a:prstGeom>
      </xdr:spPr>
    </xdr:pic>
    <xdr:clientData/>
  </xdr:twoCellAnchor>
  <xdr:twoCellAnchor>
    <xdr:from>
      <xdr:col>4</xdr:col>
      <xdr:colOff>581025</xdr:colOff>
      <xdr:row>37</xdr:row>
      <xdr:rowOff>55066</xdr:rowOff>
    </xdr:from>
    <xdr:to>
      <xdr:col>5</xdr:col>
      <xdr:colOff>77848</xdr:colOff>
      <xdr:row>38</xdr:row>
      <xdr:rowOff>114187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962275" y="7694116"/>
          <a:ext cx="696973" cy="2591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+ 0,7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ꞏ</a:t>
          </a:r>
          <a:endParaRPr lang="en-US"/>
        </a:p>
      </xdr:txBody>
    </xdr:sp>
    <xdr:clientData/>
  </xdr:twoCellAnchor>
  <xdr:twoCellAnchor editAs="oneCell">
    <xdr:from>
      <xdr:col>4</xdr:col>
      <xdr:colOff>1035177</xdr:colOff>
      <xdr:row>36</xdr:row>
      <xdr:rowOff>219823</xdr:rowOff>
    </xdr:from>
    <xdr:to>
      <xdr:col>5</xdr:col>
      <xdr:colOff>569178</xdr:colOff>
      <xdr:row>39</xdr:row>
      <xdr:rowOff>14246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68752" y="7430248"/>
          <a:ext cx="724626" cy="400923"/>
        </a:xfrm>
        <a:prstGeom prst="rect">
          <a:avLst/>
        </a:prstGeom>
      </xdr:spPr>
    </xdr:pic>
    <xdr:clientData/>
  </xdr:twoCellAnchor>
  <xdr:twoCellAnchor editAs="oneCell">
    <xdr:from>
      <xdr:col>3</xdr:col>
      <xdr:colOff>480603</xdr:colOff>
      <xdr:row>36</xdr:row>
      <xdr:rowOff>206933</xdr:rowOff>
    </xdr:from>
    <xdr:to>
      <xdr:col>4</xdr:col>
      <xdr:colOff>590002</xdr:colOff>
      <xdr:row>39</xdr:row>
      <xdr:rowOff>14178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48681" y="7797167"/>
          <a:ext cx="716618" cy="408511"/>
        </a:xfrm>
        <a:prstGeom prst="rect">
          <a:avLst/>
        </a:prstGeom>
      </xdr:spPr>
    </xdr:pic>
    <xdr:clientData/>
  </xdr:twoCellAnchor>
  <xdr:twoCellAnchor>
    <xdr:from>
      <xdr:col>5</xdr:col>
      <xdr:colOff>564571</xdr:colOff>
      <xdr:row>37</xdr:row>
      <xdr:rowOff>73711</xdr:rowOff>
    </xdr:from>
    <xdr:to>
      <xdr:col>5</xdr:col>
      <xdr:colOff>750635</xdr:colOff>
      <xdr:row>38</xdr:row>
      <xdr:rowOff>132832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688771" y="7512736"/>
          <a:ext cx="186064" cy="2591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=</a:t>
          </a:r>
        </a:p>
      </xdr:txBody>
    </xdr:sp>
    <xdr:clientData/>
  </xdr:twoCellAnchor>
  <xdr:twoCellAnchor>
    <xdr:from>
      <xdr:col>4</xdr:col>
      <xdr:colOff>704850</xdr:colOff>
      <xdr:row>41</xdr:row>
      <xdr:rowOff>56005</xdr:rowOff>
    </xdr:from>
    <xdr:to>
      <xdr:col>5</xdr:col>
      <xdr:colOff>181558</xdr:colOff>
      <xdr:row>42</xdr:row>
      <xdr:rowOff>115126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3086100" y="8504680"/>
          <a:ext cx="676858" cy="2686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+ </a:t>
          </a:r>
        </a:p>
      </xdr:txBody>
    </xdr:sp>
    <xdr:clientData/>
  </xdr:twoCellAnchor>
  <xdr:oneCellAnchor>
    <xdr:from>
      <xdr:col>4</xdr:col>
      <xdr:colOff>1065165</xdr:colOff>
      <xdr:row>41</xdr:row>
      <xdr:rowOff>13816</xdr:rowOff>
    </xdr:from>
    <xdr:ext cx="715982" cy="439906"/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98740" y="8300566"/>
          <a:ext cx="715982" cy="439906"/>
        </a:xfrm>
        <a:prstGeom prst="rect">
          <a:avLst/>
        </a:prstGeom>
      </xdr:spPr>
    </xdr:pic>
    <xdr:clientData/>
  </xdr:oneCellAnchor>
  <xdr:oneCellAnchor>
    <xdr:from>
      <xdr:col>3</xdr:col>
      <xdr:colOff>490537</xdr:colOff>
      <xdr:row>41</xdr:row>
      <xdr:rowOff>16248</xdr:rowOff>
    </xdr:from>
    <xdr:ext cx="716617" cy="439906"/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14512" y="8302998"/>
          <a:ext cx="716617" cy="439906"/>
        </a:xfrm>
        <a:prstGeom prst="rect">
          <a:avLst/>
        </a:prstGeom>
      </xdr:spPr>
    </xdr:pic>
    <xdr:clientData/>
  </xdr:oneCellAnchor>
  <xdr:twoCellAnchor>
    <xdr:from>
      <xdr:col>5</xdr:col>
      <xdr:colOff>564571</xdr:colOff>
      <xdr:row>41</xdr:row>
      <xdr:rowOff>73711</xdr:rowOff>
    </xdr:from>
    <xdr:to>
      <xdr:col>5</xdr:col>
      <xdr:colOff>750635</xdr:colOff>
      <xdr:row>42</xdr:row>
      <xdr:rowOff>132832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3688771" y="8360461"/>
          <a:ext cx="186064" cy="2877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=</a:t>
          </a:r>
        </a:p>
      </xdr:txBody>
    </xdr:sp>
    <xdr:clientData/>
  </xdr:twoCellAnchor>
  <xdr:twoCellAnchor>
    <xdr:from>
      <xdr:col>3</xdr:col>
      <xdr:colOff>133350</xdr:colOff>
      <xdr:row>41</xdr:row>
      <xdr:rowOff>85585</xdr:rowOff>
    </xdr:from>
    <xdr:to>
      <xdr:col>3</xdr:col>
      <xdr:colOff>594374</xdr:colOff>
      <xdr:row>42</xdr:row>
      <xdr:rowOff>144706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1905000" y="8534260"/>
          <a:ext cx="461024" cy="2686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0,7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ꞏ</a:t>
          </a:r>
          <a:endParaRPr lang="en-US"/>
        </a:p>
      </xdr:txBody>
    </xdr:sp>
    <xdr:clientData/>
  </xdr:twoCellAnchor>
  <xdr:twoCellAnchor>
    <xdr:from>
      <xdr:col>20</xdr:col>
      <xdr:colOff>629641</xdr:colOff>
      <xdr:row>37</xdr:row>
      <xdr:rowOff>55066</xdr:rowOff>
    </xdr:from>
    <xdr:to>
      <xdr:col>21</xdr:col>
      <xdr:colOff>268348</xdr:colOff>
      <xdr:row>38</xdr:row>
      <xdr:rowOff>114187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16269691" y="7694116"/>
          <a:ext cx="867432" cy="2591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+ 0,7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ꞏ</a:t>
          </a:r>
          <a:endParaRPr lang="en-US"/>
        </a:p>
      </xdr:txBody>
    </xdr:sp>
    <xdr:clientData/>
  </xdr:twoCellAnchor>
  <xdr:oneCellAnchor>
    <xdr:from>
      <xdr:col>20</xdr:col>
      <xdr:colOff>1133328</xdr:colOff>
      <xdr:row>37</xdr:row>
      <xdr:rowOff>80</xdr:rowOff>
    </xdr:from>
    <xdr:ext cx="712131" cy="399708"/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760281" y="7798674"/>
          <a:ext cx="712131" cy="399708"/>
        </a:xfrm>
        <a:prstGeom prst="rect">
          <a:avLst/>
        </a:prstGeom>
      </xdr:spPr>
    </xdr:pic>
    <xdr:clientData/>
  </xdr:oneCellAnchor>
  <xdr:oneCellAnchor>
    <xdr:from>
      <xdr:col>19</xdr:col>
      <xdr:colOff>555560</xdr:colOff>
      <xdr:row>36</xdr:row>
      <xdr:rowOff>205467</xdr:rowOff>
    </xdr:from>
    <xdr:ext cx="714515" cy="399708"/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503857" y="7795701"/>
          <a:ext cx="714515" cy="399708"/>
        </a:xfrm>
        <a:prstGeom prst="rect">
          <a:avLst/>
        </a:prstGeom>
      </xdr:spPr>
    </xdr:pic>
    <xdr:clientData/>
  </xdr:oneCellAnchor>
  <xdr:twoCellAnchor>
    <xdr:from>
      <xdr:col>21</xdr:col>
      <xdr:colOff>600292</xdr:colOff>
      <xdr:row>37</xdr:row>
      <xdr:rowOff>67758</xdr:rowOff>
    </xdr:from>
    <xdr:to>
      <xdr:col>21</xdr:col>
      <xdr:colOff>734048</xdr:colOff>
      <xdr:row>38</xdr:row>
      <xdr:rowOff>126879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17453589" y="7866352"/>
          <a:ext cx="133756" cy="2615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=</a:t>
          </a:r>
        </a:p>
      </xdr:txBody>
    </xdr:sp>
    <xdr:clientData/>
  </xdr:twoCellAnchor>
  <xdr:twoCellAnchor>
    <xdr:from>
      <xdr:col>20</xdr:col>
      <xdr:colOff>714301</xdr:colOff>
      <xdr:row>41</xdr:row>
      <xdr:rowOff>56005</xdr:rowOff>
    </xdr:from>
    <xdr:to>
      <xdr:col>21</xdr:col>
      <xdr:colOff>353008</xdr:colOff>
      <xdr:row>42</xdr:row>
      <xdr:rowOff>115126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6354351" y="8504680"/>
          <a:ext cx="867432" cy="2686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+ </a:t>
          </a:r>
        </a:p>
      </xdr:txBody>
    </xdr:sp>
    <xdr:clientData/>
  </xdr:twoCellAnchor>
  <xdr:oneCellAnchor>
    <xdr:from>
      <xdr:col>20</xdr:col>
      <xdr:colOff>1086802</xdr:colOff>
      <xdr:row>40</xdr:row>
      <xdr:rowOff>180014</xdr:rowOff>
    </xdr:from>
    <xdr:ext cx="782480" cy="439906"/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713755" y="8579873"/>
          <a:ext cx="782480" cy="439906"/>
        </a:xfrm>
        <a:prstGeom prst="rect">
          <a:avLst/>
        </a:prstGeom>
      </xdr:spPr>
    </xdr:pic>
    <xdr:clientData/>
  </xdr:oneCellAnchor>
  <xdr:oneCellAnchor>
    <xdr:from>
      <xdr:col>19</xdr:col>
      <xdr:colOff>538933</xdr:colOff>
      <xdr:row>40</xdr:row>
      <xdr:rowOff>182446</xdr:rowOff>
    </xdr:from>
    <xdr:ext cx="716617" cy="439906"/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9118" l="8861" r="90597">
                      <a14:foregroundMark x1="9584" y1="33529" x2="8861" y2="60882"/>
                      <a14:foregroundMark x1="24593" y1="50882" x2="41591" y2="54706"/>
                      <a14:foregroundMark x1="41591" y1="54706" x2="64919" y2="50588"/>
                      <a14:foregroundMark x1="89331" y1="36765" x2="90597" y2="66765"/>
                      <a14:foregroundMark x1="17179" y1="93529" x2="15913" y2="99118"/>
                      <a14:backgroundMark x1="36166" y1="22647" x2="52260" y2="25294"/>
                      <a14:backgroundMark x1="52260" y1="25294" x2="69620" y2="24706"/>
                      <a14:backgroundMark x1="69620" y1="24706" x2="29837" y2="12647"/>
                      <a14:backgroundMark x1="29837" y1="12647" x2="43400" y2="34118"/>
                      <a14:backgroundMark x1="43400" y1="34118" x2="71429" y2="32647"/>
                      <a14:backgroundMark x1="73779" y1="72941" x2="26221" y2="69412"/>
                      <a14:backgroundMark x1="26221" y1="69412" x2="42315" y2="84412"/>
                      <a14:backgroundMark x1="42315" y1="84412" x2="64557" y2="79706"/>
                      <a14:backgroundMark x1="64557" y1="79706" x2="48282" y2="70882"/>
                      <a14:backgroundMark x1="48282" y1="70882" x2="47559" y2="71471"/>
                      <a14:backgroundMark x1="75226" y1="71765" x2="40325" y2="76765"/>
                      <a14:backgroundMark x1="75769" y1="67059" x2="75949" y2="87941"/>
                      <a14:backgroundMark x1="74322" y1="29706" x2="75407" y2="1205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664633" y="8421571"/>
          <a:ext cx="716617" cy="439906"/>
        </a:xfrm>
        <a:prstGeom prst="rect">
          <a:avLst/>
        </a:prstGeom>
      </xdr:spPr>
    </xdr:pic>
    <xdr:clientData/>
  </xdr:oneCellAnchor>
  <xdr:twoCellAnchor>
    <xdr:from>
      <xdr:col>21</xdr:col>
      <xdr:colOff>582433</xdr:colOff>
      <xdr:row>41</xdr:row>
      <xdr:rowOff>85617</xdr:rowOff>
    </xdr:from>
    <xdr:to>
      <xdr:col>21</xdr:col>
      <xdr:colOff>716189</xdr:colOff>
      <xdr:row>42</xdr:row>
      <xdr:rowOff>144738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17435730" y="8693836"/>
          <a:ext cx="133756" cy="2674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=</a:t>
          </a:r>
        </a:p>
      </xdr:txBody>
    </xdr:sp>
    <xdr:clientData/>
  </xdr:twoCellAnchor>
  <xdr:twoCellAnchor>
    <xdr:from>
      <xdr:col>19</xdr:col>
      <xdr:colOff>171880</xdr:colOff>
      <xdr:row>41</xdr:row>
      <xdr:rowOff>76060</xdr:rowOff>
    </xdr:from>
    <xdr:to>
      <xdr:col>20</xdr:col>
      <xdr:colOff>3824</xdr:colOff>
      <xdr:row>42</xdr:row>
      <xdr:rowOff>135181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5135655" y="8524735"/>
          <a:ext cx="508219" cy="2686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0,7 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ꞏ</a:t>
          </a:r>
          <a:endParaRPr lang="en-US"/>
        </a:p>
      </xdr:txBody>
    </xdr:sp>
    <xdr:clientData/>
  </xdr:twoCellAnchor>
  <xdr:twoCellAnchor>
    <xdr:from>
      <xdr:col>18</xdr:col>
      <xdr:colOff>628649</xdr:colOff>
      <xdr:row>10</xdr:row>
      <xdr:rowOff>178340</xdr:rowOff>
    </xdr:from>
    <xdr:to>
      <xdr:col>24</xdr:col>
      <xdr:colOff>4052</xdr:colOff>
      <xdr:row>12</xdr:row>
      <xdr:rowOff>4054</xdr:rowOff>
    </xdr:to>
    <xdr:sp macro="" textlink="">
      <xdr:nvSpPr>
        <xdr:cNvPr id="41" name="Retângulo: Cantos Arredondados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15106649" y="2083340"/>
          <a:ext cx="4804653" cy="235289"/>
        </a:xfrm>
        <a:prstGeom prst="roundRect">
          <a:avLst>
            <a:gd name="adj" fmla="val 10771"/>
          </a:avLst>
        </a:prstGeom>
        <a:noFill/>
        <a:ln w="38100">
          <a:solidFill>
            <a:srgbClr val="3135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26</xdr:col>
      <xdr:colOff>437745</xdr:colOff>
      <xdr:row>17</xdr:row>
      <xdr:rowOff>218293</xdr:rowOff>
    </xdr:from>
    <xdr:to>
      <xdr:col>32</xdr:col>
      <xdr:colOff>1</xdr:colOff>
      <xdr:row>19</xdr:row>
      <xdr:rowOff>8106</xdr:rowOff>
    </xdr:to>
    <xdr:sp macro="" textlink="">
      <xdr:nvSpPr>
        <xdr:cNvPr id="42" name="Retângulo: Cantos Arredondados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20316420" y="3656818"/>
          <a:ext cx="4562881" cy="247013"/>
        </a:xfrm>
        <a:prstGeom prst="roundRect">
          <a:avLst>
            <a:gd name="adj" fmla="val 10338"/>
          </a:avLst>
        </a:prstGeom>
        <a:noFill/>
        <a:ln w="38100">
          <a:solidFill>
            <a:srgbClr val="3135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27</xdr:col>
      <xdr:colOff>1</xdr:colOff>
      <xdr:row>43</xdr:row>
      <xdr:rowOff>215346</xdr:rowOff>
    </xdr:from>
    <xdr:to>
      <xdr:col>32</xdr:col>
      <xdr:colOff>4055</xdr:colOff>
      <xdr:row>45</xdr:row>
      <xdr:rowOff>0</xdr:rowOff>
    </xdr:to>
    <xdr:sp macro="" textlink="">
      <xdr:nvSpPr>
        <xdr:cNvPr id="43" name="Retângulo: Cantos Arredondados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21869401" y="9083121"/>
          <a:ext cx="4633204" cy="222804"/>
        </a:xfrm>
        <a:prstGeom prst="roundRect">
          <a:avLst>
            <a:gd name="adj" fmla="val 10995"/>
          </a:avLst>
        </a:prstGeom>
        <a:noFill/>
        <a:ln w="38100">
          <a:solidFill>
            <a:srgbClr val="3135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601806</xdr:colOff>
      <xdr:row>4</xdr:row>
      <xdr:rowOff>187037</xdr:rowOff>
    </xdr:from>
    <xdr:to>
      <xdr:col>8</xdr:col>
      <xdr:colOff>4329</xdr:colOff>
      <xdr:row>6</xdr:row>
      <xdr:rowOff>9526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1925781" y="853787"/>
          <a:ext cx="4803198" cy="251114"/>
        </a:xfrm>
        <a:prstGeom prst="roundRect">
          <a:avLst>
            <a:gd name="adj" fmla="val 10980"/>
          </a:avLst>
        </a:prstGeom>
        <a:noFill/>
        <a:ln w="38100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10</xdr:col>
      <xdr:colOff>597000</xdr:colOff>
      <xdr:row>4</xdr:row>
      <xdr:rowOff>187037</xdr:rowOff>
    </xdr:from>
    <xdr:to>
      <xdr:col>16</xdr:col>
      <xdr:colOff>6569</xdr:colOff>
      <xdr:row>6</xdr:row>
      <xdr:rowOff>10412</xdr:rowOff>
    </xdr:to>
    <xdr:sp macro="" textlink="">
      <xdr:nvSpPr>
        <xdr:cNvPr id="45" name="Retângulo: Cantos Arredondados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8626575" y="853787"/>
          <a:ext cx="4638794" cy="252000"/>
        </a:xfrm>
        <a:prstGeom prst="roundRect">
          <a:avLst>
            <a:gd name="adj" fmla="val 10980"/>
          </a:avLst>
        </a:prstGeom>
        <a:noFill/>
        <a:ln w="38100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630876</xdr:colOff>
      <xdr:row>4</xdr:row>
      <xdr:rowOff>187037</xdr:rowOff>
    </xdr:from>
    <xdr:to>
      <xdr:col>24</xdr:col>
      <xdr:colOff>6568</xdr:colOff>
      <xdr:row>6</xdr:row>
      <xdr:rowOff>10412</xdr:rowOff>
    </xdr:to>
    <xdr:sp macro="" textlink="">
      <xdr:nvSpPr>
        <xdr:cNvPr id="48" name="Retângulo: Cantos Arredondados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15108876" y="853787"/>
          <a:ext cx="4804942" cy="252000"/>
        </a:xfrm>
        <a:prstGeom prst="roundRect">
          <a:avLst>
            <a:gd name="adj" fmla="val 10980"/>
          </a:avLst>
        </a:prstGeom>
        <a:noFill/>
        <a:ln w="38100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23703</xdr:colOff>
      <xdr:row>6</xdr:row>
      <xdr:rowOff>168088</xdr:rowOff>
    </xdr:from>
    <xdr:to>
      <xdr:col>32</xdr:col>
      <xdr:colOff>28575</xdr:colOff>
      <xdr:row>91</xdr:row>
      <xdr:rowOff>19049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GrpSpPr/>
      </xdr:nvGrpSpPr>
      <xdr:grpSpPr>
        <a:xfrm>
          <a:off x="480903" y="1455868"/>
          <a:ext cx="26598672" cy="18024661"/>
          <a:chOff x="23703" y="1263120"/>
          <a:chExt cx="25893822" cy="17224717"/>
        </a:xfrm>
      </xdr:grpSpPr>
      <xdr:sp macro="" textlink="">
        <xdr:nvSpPr>
          <xdr:cNvPr id="20" name="Retângulo: Cantos Arredondados 19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/>
        </xdr:nvSpPr>
        <xdr:spPr>
          <a:xfrm>
            <a:off x="1314450" y="2455531"/>
            <a:ext cx="1838325" cy="3199358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1" name="Retângulo: Cantos Arredondados 20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/>
        </xdr:nvSpPr>
        <xdr:spPr>
          <a:xfrm>
            <a:off x="3914775" y="2455531"/>
            <a:ext cx="2222011" cy="3199358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2" name="Retângulo: Cantos Arredondados 21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SpPr/>
        </xdr:nvSpPr>
        <xdr:spPr>
          <a:xfrm>
            <a:off x="1317008" y="7264149"/>
            <a:ext cx="4834440" cy="3905508"/>
          </a:xfrm>
          <a:prstGeom prst="roundRect">
            <a:avLst>
              <a:gd name="adj" fmla="val 2475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" name="Retângulo: Cantos Arredondados 23">
            <a:extLst>
              <a:ext uri="{FF2B5EF4-FFF2-40B4-BE49-F238E27FC236}">
                <a16:creationId xmlns:a16="http://schemas.microsoft.com/office/drawing/2014/main" id="{00000000-0008-0000-0500-000018000000}"/>
              </a:ext>
            </a:extLst>
          </xdr:cNvPr>
          <xdr:cNvSpPr/>
        </xdr:nvSpPr>
        <xdr:spPr>
          <a:xfrm>
            <a:off x="1299956" y="1275700"/>
            <a:ext cx="4834144" cy="645864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5" name="Retângulo: Cantos Arredondados 24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SpPr/>
        </xdr:nvSpPr>
        <xdr:spPr>
          <a:xfrm>
            <a:off x="8020576" y="1263120"/>
            <a:ext cx="4647674" cy="1672706"/>
          </a:xfrm>
          <a:prstGeom prst="roundRect">
            <a:avLst>
              <a:gd name="adj" fmla="val 5011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" name="Retângulo: Cantos Arredondados 25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SpPr/>
        </xdr:nvSpPr>
        <xdr:spPr>
          <a:xfrm>
            <a:off x="8010270" y="3337477"/>
            <a:ext cx="1856847" cy="830161"/>
          </a:xfrm>
          <a:prstGeom prst="roundRect">
            <a:avLst>
              <a:gd name="adj" fmla="val 5011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SpPr/>
        </xdr:nvSpPr>
        <xdr:spPr>
          <a:xfrm>
            <a:off x="10428078" y="3328178"/>
            <a:ext cx="2221122" cy="4558992"/>
          </a:xfrm>
          <a:prstGeom prst="roundRect">
            <a:avLst>
              <a:gd name="adj" fmla="val 4153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8" name="Retângulo: Cantos Arredondados 27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SpPr/>
        </xdr:nvSpPr>
        <xdr:spPr>
          <a:xfrm>
            <a:off x="14520708" y="1275701"/>
            <a:ext cx="4795992" cy="642906"/>
          </a:xfrm>
          <a:prstGeom prst="roundRect">
            <a:avLst>
              <a:gd name="adj" fmla="val 5011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9" name="Retângulo: Cantos Arredondados 28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/>
        </xdr:nvSpPr>
        <xdr:spPr>
          <a:xfrm>
            <a:off x="14477999" y="2467881"/>
            <a:ext cx="1952625" cy="3163067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0" name="Retângulo: Cantos Arredondados 29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SpPr/>
        </xdr:nvSpPr>
        <xdr:spPr>
          <a:xfrm>
            <a:off x="17171378" y="2467881"/>
            <a:ext cx="2137158" cy="3163067"/>
          </a:xfrm>
          <a:prstGeom prst="roundRect">
            <a:avLst>
              <a:gd name="adj" fmla="val 7058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SpPr/>
        </xdr:nvSpPr>
        <xdr:spPr>
          <a:xfrm>
            <a:off x="14518667" y="7051786"/>
            <a:ext cx="4788508" cy="1635084"/>
          </a:xfrm>
          <a:prstGeom prst="roundRect">
            <a:avLst>
              <a:gd name="adj" fmla="val 3595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2" name="Retângulo: Cantos Arredondados 31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SpPr/>
        </xdr:nvSpPr>
        <xdr:spPr>
          <a:xfrm>
            <a:off x="14497050" y="8872846"/>
            <a:ext cx="1930002" cy="2529283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3" name="Retângulo: Cantos Arredondados 32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SpPr/>
        </xdr:nvSpPr>
        <xdr:spPr>
          <a:xfrm>
            <a:off x="14497049" y="11555887"/>
            <a:ext cx="1933575" cy="1473538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4" name="Retângulo: Cantos Arredondados 33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SpPr/>
        </xdr:nvSpPr>
        <xdr:spPr>
          <a:xfrm>
            <a:off x="17168211" y="10937186"/>
            <a:ext cx="2153251" cy="1487814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/>
        </xdr:nvSpPr>
        <xdr:spPr>
          <a:xfrm>
            <a:off x="21239617" y="2680270"/>
            <a:ext cx="4665898" cy="675532"/>
          </a:xfrm>
          <a:prstGeom prst="roundRect">
            <a:avLst>
              <a:gd name="adj" fmla="val 7058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/>
        </xdr:nvSpPr>
        <xdr:spPr>
          <a:xfrm>
            <a:off x="21234539" y="3965714"/>
            <a:ext cx="2031309" cy="3344930"/>
          </a:xfrm>
          <a:prstGeom prst="roundRect">
            <a:avLst>
              <a:gd name="adj" fmla="val 377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SpPr/>
        </xdr:nvSpPr>
        <xdr:spPr>
          <a:xfrm>
            <a:off x="23898224" y="3969026"/>
            <a:ext cx="2010603" cy="1853803"/>
          </a:xfrm>
          <a:prstGeom prst="roundRect">
            <a:avLst>
              <a:gd name="adj" fmla="val 377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8" name="Retângulo: Cantos Arredondados 37">
            <a:extLst>
              <a:ext uri="{FF2B5EF4-FFF2-40B4-BE49-F238E27FC236}">
                <a16:creationId xmlns:a16="http://schemas.microsoft.com/office/drawing/2014/main" id="{00000000-0008-0000-0500-000026000000}"/>
              </a:ext>
            </a:extLst>
          </xdr:cNvPr>
          <xdr:cNvSpPr/>
        </xdr:nvSpPr>
        <xdr:spPr>
          <a:xfrm>
            <a:off x="21232882" y="9285852"/>
            <a:ext cx="2031309" cy="4366594"/>
          </a:xfrm>
          <a:prstGeom prst="roundRect">
            <a:avLst>
              <a:gd name="adj" fmla="val 377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SpPr/>
        </xdr:nvSpPr>
        <xdr:spPr>
          <a:xfrm>
            <a:off x="23879175" y="9296208"/>
            <a:ext cx="2038350" cy="2924219"/>
          </a:xfrm>
          <a:prstGeom prst="roundRect">
            <a:avLst>
              <a:gd name="adj" fmla="val 377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0" name="Retângulo: Cantos Arredondados 39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SpPr/>
        </xdr:nvSpPr>
        <xdr:spPr>
          <a:xfrm>
            <a:off x="21836271" y="14555529"/>
            <a:ext cx="2671554" cy="1468119"/>
          </a:xfrm>
          <a:prstGeom prst="roundRect">
            <a:avLst>
              <a:gd name="adj" fmla="val 377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7" name="Retângulo: Cantos Arredondados 46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SpPr/>
        </xdr:nvSpPr>
        <xdr:spPr>
          <a:xfrm>
            <a:off x="8020050" y="4536125"/>
            <a:ext cx="1828017" cy="1729583"/>
          </a:xfrm>
          <a:prstGeom prst="roundRect">
            <a:avLst>
              <a:gd name="adj" fmla="val 5011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6" name="Retângulo: Cantos Arredondados 45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SpPr/>
        </xdr:nvSpPr>
        <xdr:spPr>
          <a:xfrm>
            <a:off x="23703" y="5785635"/>
            <a:ext cx="3143640" cy="1096321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7" name="Retângulo: Cantos Arredondados 56">
            <a:extLst>
              <a:ext uri="{FF2B5EF4-FFF2-40B4-BE49-F238E27FC236}">
                <a16:creationId xmlns:a16="http://schemas.microsoft.com/office/drawing/2014/main" id="{00000000-0008-0000-0500-000039000000}"/>
              </a:ext>
            </a:extLst>
          </xdr:cNvPr>
          <xdr:cNvSpPr/>
        </xdr:nvSpPr>
        <xdr:spPr>
          <a:xfrm>
            <a:off x="3917706" y="5785635"/>
            <a:ext cx="3535114" cy="1111777"/>
          </a:xfrm>
          <a:prstGeom prst="roundRect">
            <a:avLst>
              <a:gd name="adj" fmla="val 5599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2" name="Retângulo: Cantos Arredondados 61">
            <a:extLst>
              <a:ext uri="{FF2B5EF4-FFF2-40B4-BE49-F238E27FC236}">
                <a16:creationId xmlns:a16="http://schemas.microsoft.com/office/drawing/2014/main" id="{00000000-0008-0000-0500-00003E000000}"/>
              </a:ext>
            </a:extLst>
          </xdr:cNvPr>
          <xdr:cNvSpPr/>
        </xdr:nvSpPr>
        <xdr:spPr>
          <a:xfrm>
            <a:off x="13868400" y="5804233"/>
            <a:ext cx="2571750" cy="1078663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3" name="Retângulo: Cantos Arredondados 62">
            <a:extLst>
              <a:ext uri="{FF2B5EF4-FFF2-40B4-BE49-F238E27FC236}">
                <a16:creationId xmlns:a16="http://schemas.microsoft.com/office/drawing/2014/main" id="{00000000-0008-0000-0500-00003F000000}"/>
              </a:ext>
            </a:extLst>
          </xdr:cNvPr>
          <xdr:cNvSpPr/>
        </xdr:nvSpPr>
        <xdr:spPr>
          <a:xfrm>
            <a:off x="17173576" y="5804233"/>
            <a:ext cx="2962274" cy="1078663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4" name="Retângulo: Cantos Arredondados 63">
            <a:extLst>
              <a:ext uri="{FF2B5EF4-FFF2-40B4-BE49-F238E27FC236}">
                <a16:creationId xmlns:a16="http://schemas.microsoft.com/office/drawing/2014/main" id="{00000000-0008-0000-0500-000040000000}"/>
              </a:ext>
            </a:extLst>
          </xdr:cNvPr>
          <xdr:cNvSpPr/>
        </xdr:nvSpPr>
        <xdr:spPr>
          <a:xfrm>
            <a:off x="17173575" y="8872846"/>
            <a:ext cx="3676650" cy="1692388"/>
          </a:xfrm>
          <a:prstGeom prst="roundRect">
            <a:avLst>
              <a:gd name="adj" fmla="val 7604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1" name="Retângulo: Cantos Arredondados 60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SpPr/>
        </xdr:nvSpPr>
        <xdr:spPr>
          <a:xfrm>
            <a:off x="21836270" y="16191026"/>
            <a:ext cx="2709655" cy="2296811"/>
          </a:xfrm>
          <a:prstGeom prst="roundRect">
            <a:avLst>
              <a:gd name="adj" fmla="val 3170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65" name="Retângulo: Cantos Arredondados 64">
            <a:extLst>
              <a:ext uri="{FF2B5EF4-FFF2-40B4-BE49-F238E27FC236}">
                <a16:creationId xmlns:a16="http://schemas.microsoft.com/office/drawing/2014/main" id="{00000000-0008-0000-0500-000041000000}"/>
              </a:ext>
            </a:extLst>
          </xdr:cNvPr>
          <xdr:cNvSpPr/>
        </xdr:nvSpPr>
        <xdr:spPr>
          <a:xfrm>
            <a:off x="8010270" y="7050276"/>
            <a:ext cx="1856847" cy="660217"/>
          </a:xfrm>
          <a:prstGeom prst="roundRect">
            <a:avLst>
              <a:gd name="adj" fmla="val 5011"/>
            </a:avLst>
          </a:prstGeom>
          <a:noFill/>
          <a:ln w="76200">
            <a:solidFill>
              <a:srgbClr val="1D212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27</xdr:col>
      <xdr:colOff>0</xdr:colOff>
      <xdr:row>4</xdr:row>
      <xdr:rowOff>187037</xdr:rowOff>
    </xdr:from>
    <xdr:to>
      <xdr:col>32</xdr:col>
      <xdr:colOff>6185</xdr:colOff>
      <xdr:row>6</xdr:row>
      <xdr:rowOff>10412</xdr:rowOff>
    </xdr:to>
    <xdr:sp macro="" textlink="">
      <xdr:nvSpPr>
        <xdr:cNvPr id="94" name="Retângulo: Cantos Arredondados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/>
      </xdr:nvSpPr>
      <xdr:spPr>
        <a:xfrm>
          <a:off x="21869400" y="853787"/>
          <a:ext cx="4635335" cy="252000"/>
        </a:xfrm>
        <a:prstGeom prst="roundRect">
          <a:avLst>
            <a:gd name="adj" fmla="val 10980"/>
          </a:avLst>
        </a:prstGeom>
        <a:noFill/>
        <a:ln w="38100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569039</xdr:colOff>
      <xdr:row>8</xdr:row>
      <xdr:rowOff>7019</xdr:rowOff>
    </xdr:from>
    <xdr:to>
      <xdr:col>5</xdr:col>
      <xdr:colOff>569039</xdr:colOff>
      <xdr:row>10</xdr:row>
      <xdr:rowOff>0</xdr:rowOff>
    </xdr:to>
    <xdr:cxnSp macro="">
      <xdr:nvCxnSpPr>
        <xdr:cNvPr id="51" name="Conector reto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CxnSpPr/>
      </xdr:nvCxnSpPr>
      <xdr:spPr>
        <a:xfrm>
          <a:off x="4150439" y="1702469"/>
          <a:ext cx="0" cy="373981"/>
        </a:xfrm>
        <a:prstGeom prst="line">
          <a:avLst/>
        </a:prstGeom>
        <a:ln>
          <a:solidFill>
            <a:srgbClr val="31353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434860</xdr:colOff>
      <xdr:row>8</xdr:row>
      <xdr:rowOff>2050</xdr:rowOff>
    </xdr:from>
    <xdr:to>
      <xdr:col>13</xdr:col>
      <xdr:colOff>434860</xdr:colOff>
      <xdr:row>14</xdr:row>
      <xdr:rowOff>215347</xdr:rowOff>
    </xdr:to>
    <xdr:cxnSp macro="">
      <xdr:nvCxnSpPr>
        <xdr:cNvPr id="97" name="Conector reto 96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CxnSpPr/>
      </xdr:nvCxnSpPr>
      <xdr:spPr>
        <a:xfrm>
          <a:off x="10721860" y="1697500"/>
          <a:ext cx="0" cy="1432497"/>
        </a:xfrm>
        <a:prstGeom prst="line">
          <a:avLst/>
        </a:prstGeom>
        <a:ln>
          <a:solidFill>
            <a:srgbClr val="31353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461778</xdr:colOff>
      <xdr:row>7</xdr:row>
      <xdr:rowOff>217075</xdr:rowOff>
    </xdr:from>
    <xdr:to>
      <xdr:col>21</xdr:col>
      <xdr:colOff>461778</xdr:colOff>
      <xdr:row>9</xdr:row>
      <xdr:rowOff>185853</xdr:rowOff>
    </xdr:to>
    <xdr:cxnSp macro="">
      <xdr:nvCxnSpPr>
        <xdr:cNvPr id="98" name="Conector reto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CxnSpPr/>
      </xdr:nvCxnSpPr>
      <xdr:spPr>
        <a:xfrm>
          <a:off x="17330553" y="1693450"/>
          <a:ext cx="0" cy="378353"/>
        </a:xfrm>
        <a:prstGeom prst="line">
          <a:avLst/>
        </a:prstGeom>
        <a:ln>
          <a:solidFill>
            <a:srgbClr val="31353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293938</xdr:colOff>
      <xdr:row>15</xdr:row>
      <xdr:rowOff>6224</xdr:rowOff>
    </xdr:from>
    <xdr:to>
      <xdr:col>29</xdr:col>
      <xdr:colOff>293938</xdr:colOff>
      <xdr:row>17</xdr:row>
      <xdr:rowOff>0</xdr:rowOff>
    </xdr:to>
    <xdr:cxnSp macro="">
      <xdr:nvCxnSpPr>
        <xdr:cNvPr id="99" name="Conector reto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CxnSpPr/>
      </xdr:nvCxnSpPr>
      <xdr:spPr>
        <a:xfrm>
          <a:off x="23986695" y="2978024"/>
          <a:ext cx="0" cy="418319"/>
        </a:xfrm>
        <a:prstGeom prst="line">
          <a:avLst/>
        </a:prstGeom>
        <a:ln>
          <a:solidFill>
            <a:srgbClr val="31353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36</xdr:col>
      <xdr:colOff>876299</xdr:colOff>
      <xdr:row>2</xdr:row>
      <xdr:rowOff>123477</xdr:rowOff>
    </xdr:to>
    <xdr:grpSp>
      <xdr:nvGrpSpPr>
        <xdr:cNvPr id="102" name="Agrupar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GrpSpPr/>
      </xdr:nvGrpSpPr>
      <xdr:grpSpPr>
        <a:xfrm>
          <a:off x="0" y="0"/>
          <a:ext cx="31348679" cy="451137"/>
          <a:chOff x="0" y="0"/>
          <a:chExt cx="30546674" cy="456852"/>
        </a:xfrm>
      </xdr:grpSpPr>
      <xdr:sp macro="" textlink="">
        <xdr:nvSpPr>
          <xdr:cNvPr id="103" name="Retângulo 102">
            <a:extLst>
              <a:ext uri="{FF2B5EF4-FFF2-40B4-BE49-F238E27FC236}">
                <a16:creationId xmlns:a16="http://schemas.microsoft.com/office/drawing/2014/main" id="{00000000-0008-0000-0500-000067000000}"/>
              </a:ext>
            </a:extLst>
          </xdr:cNvPr>
          <xdr:cNvSpPr/>
        </xdr:nvSpPr>
        <xdr:spPr>
          <a:xfrm>
            <a:off x="0" y="0"/>
            <a:ext cx="30546674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4" name="Retângulo: Cantos Arredondados 103">
            <a:extLst>
              <a:ext uri="{FF2B5EF4-FFF2-40B4-BE49-F238E27FC236}">
                <a16:creationId xmlns:a16="http://schemas.microsoft.com/office/drawing/2014/main" id="{00000000-0008-0000-0500-000068000000}"/>
              </a:ext>
            </a:extLst>
          </xdr:cNvPr>
          <xdr:cNvSpPr/>
        </xdr:nvSpPr>
        <xdr:spPr>
          <a:xfrm>
            <a:off x="3333041" y="126568"/>
            <a:ext cx="45919" cy="243680"/>
          </a:xfrm>
          <a:prstGeom prst="roundRect">
            <a:avLst>
              <a:gd name="adj" fmla="val 50000"/>
            </a:avLst>
          </a:prstGeom>
          <a:solidFill>
            <a:schemeClr val="tx1">
              <a:alpha val="2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endParaRPr lang="pt-BR" sz="1100">
              <a:solidFill>
                <a:schemeClr val="lt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grpSp>
        <xdr:nvGrpSpPr>
          <xdr:cNvPr id="105" name="Agrupar 10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500-000069000000}"/>
              </a:ext>
            </a:extLst>
          </xdr:cNvPr>
          <xdr:cNvGrpSpPr/>
        </xdr:nvGrpSpPr>
        <xdr:grpSpPr>
          <a:xfrm>
            <a:off x="5252438" y="123825"/>
            <a:ext cx="1165435" cy="243701"/>
            <a:chOff x="3341571" y="88944"/>
            <a:chExt cx="1169375" cy="243701"/>
          </a:xfrm>
        </xdr:grpSpPr>
        <xdr:sp macro="" textlink="">
          <xdr:nvSpPr>
            <xdr:cNvPr id="128" name="Retângulo: Cantos Arredondados 127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00000000-0008-0000-0500-000080000000}"/>
                </a:ext>
              </a:extLst>
            </xdr:cNvPr>
            <xdr:cNvSpPr/>
          </xdr:nvSpPr>
          <xdr:spPr>
            <a:xfrm>
              <a:off x="3341571" y="88944"/>
              <a:ext cx="1169375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algn="ctr"/>
              <a:r>
                <a:rPr lang="pt-BR" sz="110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Resistência</a:t>
              </a:r>
              <a:r>
                <a:rPr lang="pt-BR" sz="1100" baseline="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 </a:t>
              </a:r>
              <a:endParaRPr lang="pt-BR" sz="1100"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29" name="Forma Livre: Forma 128">
              <a:extLst>
                <a:ext uri="{FF2B5EF4-FFF2-40B4-BE49-F238E27FC236}">
                  <a16:creationId xmlns:a16="http://schemas.microsoft.com/office/drawing/2014/main" id="{00000000-0008-0000-0500-000081000000}"/>
                </a:ext>
              </a:extLst>
            </xdr:cNvPr>
            <xdr:cNvSpPr>
              <a:spLocks noChangeAspect="1"/>
            </xdr:cNvSpPr>
          </xdr:nvSpPr>
          <xdr:spPr>
            <a:xfrm>
              <a:off x="3386968" y="120794"/>
              <a:ext cx="152261" cy="180000"/>
            </a:xfrm>
            <a:custGeom>
              <a:avLst/>
              <a:gdLst>
                <a:gd name="connsiteX0" fmla="*/ 2054694 w 2887985"/>
                <a:gd name="connsiteY0" fmla="*/ 1117429 h 3390900"/>
                <a:gd name="connsiteX1" fmla="*/ 2229809 w 2887985"/>
                <a:gd name="connsiteY1" fmla="*/ 1292544 h 3390900"/>
                <a:gd name="connsiteX2" fmla="*/ 1180556 w 2887985"/>
                <a:gd name="connsiteY2" fmla="*/ 2341796 h 3390900"/>
                <a:gd name="connsiteX3" fmla="*/ 640894 w 2887985"/>
                <a:gd name="connsiteY3" fmla="*/ 1802134 h 3390900"/>
                <a:gd name="connsiteX4" fmla="*/ 816009 w 2887985"/>
                <a:gd name="connsiteY4" fmla="*/ 1627019 h 3390900"/>
                <a:gd name="connsiteX5" fmla="*/ 1180556 w 2887985"/>
                <a:gd name="connsiteY5" fmla="*/ 1991566 h 3390900"/>
                <a:gd name="connsiteX6" fmla="*/ 1447238 w 2887985"/>
                <a:gd name="connsiteY6" fmla="*/ 252005 h 3390900"/>
                <a:gd name="connsiteX7" fmla="*/ 221121 w 2887985"/>
                <a:gd name="connsiteY7" fmla="*/ 673686 h 3390900"/>
                <a:gd name="connsiteX8" fmla="*/ 214633 w 2887985"/>
                <a:gd name="connsiteY8" fmla="*/ 1854391 h 3390900"/>
                <a:gd name="connsiteX9" fmla="*/ 1434263 w 2887985"/>
                <a:gd name="connsiteY9" fmla="*/ 3138895 h 3390900"/>
                <a:gd name="connsiteX10" fmla="*/ 2673355 w 2887985"/>
                <a:gd name="connsiteY10" fmla="*/ 1854391 h 3390900"/>
                <a:gd name="connsiteX11" fmla="*/ 2673355 w 2887985"/>
                <a:gd name="connsiteY11" fmla="*/ 686660 h 3390900"/>
                <a:gd name="connsiteX12" fmla="*/ 1447805 w 2887985"/>
                <a:gd name="connsiteY12" fmla="*/ 0 h 3390900"/>
                <a:gd name="connsiteX13" fmla="*/ 2887985 w 2887985"/>
                <a:gd name="connsiteY13" fmla="*/ 510540 h 3390900"/>
                <a:gd name="connsiteX14" fmla="*/ 2887985 w 2887985"/>
                <a:gd name="connsiteY14" fmla="*/ 1882140 h 3390900"/>
                <a:gd name="connsiteX15" fmla="*/ 1432565 w 2887985"/>
                <a:gd name="connsiteY15" fmla="*/ 3390900 h 3390900"/>
                <a:gd name="connsiteX16" fmla="*/ 5 w 2887985"/>
                <a:gd name="connsiteY16" fmla="*/ 1882140 h 3390900"/>
                <a:gd name="connsiteX17" fmla="*/ 7625 w 2887985"/>
                <a:gd name="connsiteY17" fmla="*/ 495300 h 33909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87985" h="3390900">
                  <a:moveTo>
                    <a:pt x="2054694" y="1117429"/>
                  </a:moveTo>
                  <a:lnTo>
                    <a:pt x="2229809" y="1292544"/>
                  </a:lnTo>
                  <a:lnTo>
                    <a:pt x="1180556" y="2341796"/>
                  </a:lnTo>
                  <a:lnTo>
                    <a:pt x="640894" y="1802134"/>
                  </a:lnTo>
                  <a:lnTo>
                    <a:pt x="816009" y="1627019"/>
                  </a:lnTo>
                  <a:lnTo>
                    <a:pt x="1180556" y="1991566"/>
                  </a:lnTo>
                  <a:close/>
                  <a:moveTo>
                    <a:pt x="1447238" y="252005"/>
                  </a:moveTo>
                  <a:lnTo>
                    <a:pt x="221121" y="673686"/>
                  </a:lnTo>
                  <a:lnTo>
                    <a:pt x="214633" y="1854391"/>
                  </a:lnTo>
                  <a:cubicBezTo>
                    <a:pt x="212471" y="2723702"/>
                    <a:pt x="1177741" y="3035096"/>
                    <a:pt x="1434263" y="3138895"/>
                  </a:cubicBezTo>
                  <a:cubicBezTo>
                    <a:pt x="1689162" y="3039151"/>
                    <a:pt x="2669030" y="2710727"/>
                    <a:pt x="2673355" y="1854391"/>
                  </a:cubicBezTo>
                  <a:lnTo>
                    <a:pt x="2673355" y="686660"/>
                  </a:lnTo>
                  <a:close/>
                  <a:moveTo>
                    <a:pt x="1447805" y="0"/>
                  </a:moveTo>
                  <a:lnTo>
                    <a:pt x="2887985" y="510540"/>
                  </a:lnTo>
                  <a:lnTo>
                    <a:pt x="2887985" y="1882140"/>
                  </a:lnTo>
                  <a:cubicBezTo>
                    <a:pt x="2882905" y="2887980"/>
                    <a:pt x="1731966" y="3273742"/>
                    <a:pt x="1432565" y="3390900"/>
                  </a:cubicBezTo>
                  <a:cubicBezTo>
                    <a:pt x="1131258" y="3268979"/>
                    <a:pt x="-2535" y="2903220"/>
                    <a:pt x="5" y="1882140"/>
                  </a:cubicBezTo>
                  <a:lnTo>
                    <a:pt x="7625" y="495300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noFill/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06" name="Agrupar 105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500-00006A000000}"/>
              </a:ext>
            </a:extLst>
          </xdr:cNvPr>
          <xdr:cNvGrpSpPr/>
        </xdr:nvGrpSpPr>
        <xdr:grpSpPr>
          <a:xfrm>
            <a:off x="3901291" y="123825"/>
            <a:ext cx="1105113" cy="243701"/>
            <a:chOff x="3573869" y="104252"/>
            <a:chExt cx="1105394" cy="243701"/>
          </a:xfrm>
        </xdr:grpSpPr>
        <xdr:sp macro="" textlink="">
          <xdr:nvSpPr>
            <xdr:cNvPr id="126" name="Retângulo: Cantos Arredondados 125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00000000-0008-0000-0500-00007E000000}"/>
                </a:ext>
              </a:extLst>
            </xdr:cNvPr>
            <xdr:cNvSpPr/>
          </xdr:nvSpPr>
          <xdr:spPr>
            <a:xfrm>
              <a:off x="3573869" y="104252"/>
              <a:ext cx="1105394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Dashboard</a:t>
              </a:r>
            </a:p>
          </xdr:txBody>
        </xdr:sp>
        <xdr:sp macro="" textlink="">
          <xdr:nvSpPr>
            <xdr:cNvPr id="127" name="Forma Livre: Forma 126">
              <a:extLst>
                <a:ext uri="{FF2B5EF4-FFF2-40B4-BE49-F238E27FC236}">
                  <a16:creationId xmlns:a16="http://schemas.microsoft.com/office/drawing/2014/main" id="{00000000-0008-0000-0500-00007F000000}"/>
                </a:ext>
              </a:extLst>
            </xdr:cNvPr>
            <xdr:cNvSpPr>
              <a:spLocks noChangeAspect="1"/>
            </xdr:cNvSpPr>
          </xdr:nvSpPr>
          <xdr:spPr>
            <a:xfrm>
              <a:off x="3652639" y="154102"/>
              <a:ext cx="142888" cy="144000"/>
            </a:xfrm>
            <a:custGeom>
              <a:avLst/>
              <a:gdLst>
                <a:gd name="connsiteX0" fmla="*/ 175440 w 3076156"/>
                <a:gd name="connsiteY0" fmla="*/ 2044504 h 3097121"/>
                <a:gd name="connsiteX1" fmla="*/ 1120088 w 3076156"/>
                <a:gd name="connsiteY1" fmla="*/ 2044504 h 3097121"/>
                <a:gd name="connsiteX2" fmla="*/ 1295528 w 3076156"/>
                <a:gd name="connsiteY2" fmla="*/ 2219944 h 3097121"/>
                <a:gd name="connsiteX3" fmla="*/ 1295528 w 3076156"/>
                <a:gd name="connsiteY3" fmla="*/ 2921681 h 3097121"/>
                <a:gd name="connsiteX4" fmla="*/ 1120088 w 3076156"/>
                <a:gd name="connsiteY4" fmla="*/ 3097121 h 3097121"/>
                <a:gd name="connsiteX5" fmla="*/ 175440 w 3076156"/>
                <a:gd name="connsiteY5" fmla="*/ 3097121 h 3097121"/>
                <a:gd name="connsiteX6" fmla="*/ 0 w 3076156"/>
                <a:gd name="connsiteY6" fmla="*/ 2921681 h 3097121"/>
                <a:gd name="connsiteX7" fmla="*/ 0 w 3076156"/>
                <a:gd name="connsiteY7" fmla="*/ 2219944 h 3097121"/>
                <a:gd name="connsiteX8" fmla="*/ 175440 w 3076156"/>
                <a:gd name="connsiteY8" fmla="*/ 2044504 h 3097121"/>
                <a:gd name="connsiteX9" fmla="*/ 1996554 w 3076156"/>
                <a:gd name="connsiteY9" fmla="*/ 1543499 h 3097121"/>
                <a:gd name="connsiteX10" fmla="*/ 2860230 w 3076156"/>
                <a:gd name="connsiteY10" fmla="*/ 1543499 h 3097121"/>
                <a:gd name="connsiteX11" fmla="*/ 3076156 w 3076156"/>
                <a:gd name="connsiteY11" fmla="*/ 1759425 h 3097121"/>
                <a:gd name="connsiteX12" fmla="*/ 3076156 w 3076156"/>
                <a:gd name="connsiteY12" fmla="*/ 2881195 h 3097121"/>
                <a:gd name="connsiteX13" fmla="*/ 2860230 w 3076156"/>
                <a:gd name="connsiteY13" fmla="*/ 3097121 h 3097121"/>
                <a:gd name="connsiteX14" fmla="*/ 1996554 w 3076156"/>
                <a:gd name="connsiteY14" fmla="*/ 3097121 h 3097121"/>
                <a:gd name="connsiteX15" fmla="*/ 1780628 w 3076156"/>
                <a:gd name="connsiteY15" fmla="*/ 2881195 h 3097121"/>
                <a:gd name="connsiteX16" fmla="*/ 1780628 w 3076156"/>
                <a:gd name="connsiteY16" fmla="*/ 1759425 h 3097121"/>
                <a:gd name="connsiteX17" fmla="*/ 1996554 w 3076156"/>
                <a:gd name="connsiteY17" fmla="*/ 1543499 h 3097121"/>
                <a:gd name="connsiteX18" fmla="*/ 1956068 w 3076156"/>
                <a:gd name="connsiteY18" fmla="*/ 0 h 3097121"/>
                <a:gd name="connsiteX19" fmla="*/ 2900716 w 3076156"/>
                <a:gd name="connsiteY19" fmla="*/ 0 h 3097121"/>
                <a:gd name="connsiteX20" fmla="*/ 3076156 w 3076156"/>
                <a:gd name="connsiteY20" fmla="*/ 175440 h 3097121"/>
                <a:gd name="connsiteX21" fmla="*/ 3076156 w 3076156"/>
                <a:gd name="connsiteY21" fmla="*/ 877177 h 3097121"/>
                <a:gd name="connsiteX22" fmla="*/ 2900716 w 3076156"/>
                <a:gd name="connsiteY22" fmla="*/ 1052617 h 3097121"/>
                <a:gd name="connsiteX23" fmla="*/ 1956068 w 3076156"/>
                <a:gd name="connsiteY23" fmla="*/ 1052617 h 3097121"/>
                <a:gd name="connsiteX24" fmla="*/ 1780628 w 3076156"/>
                <a:gd name="connsiteY24" fmla="*/ 877177 h 3097121"/>
                <a:gd name="connsiteX25" fmla="*/ 1780628 w 3076156"/>
                <a:gd name="connsiteY25" fmla="*/ 175440 h 3097121"/>
                <a:gd name="connsiteX26" fmla="*/ 1956068 w 3076156"/>
                <a:gd name="connsiteY26" fmla="*/ 0 h 3097121"/>
                <a:gd name="connsiteX27" fmla="*/ 215926 w 3076156"/>
                <a:gd name="connsiteY27" fmla="*/ 0 h 3097121"/>
                <a:gd name="connsiteX28" fmla="*/ 1079602 w 3076156"/>
                <a:gd name="connsiteY28" fmla="*/ 0 h 3097121"/>
                <a:gd name="connsiteX29" fmla="*/ 1295528 w 3076156"/>
                <a:gd name="connsiteY29" fmla="*/ 215926 h 3097121"/>
                <a:gd name="connsiteX30" fmla="*/ 1295528 w 3076156"/>
                <a:gd name="connsiteY30" fmla="*/ 1337696 h 3097121"/>
                <a:gd name="connsiteX31" fmla="*/ 1079602 w 3076156"/>
                <a:gd name="connsiteY31" fmla="*/ 1553622 h 3097121"/>
                <a:gd name="connsiteX32" fmla="*/ 215926 w 3076156"/>
                <a:gd name="connsiteY32" fmla="*/ 1553622 h 3097121"/>
                <a:gd name="connsiteX33" fmla="*/ 0 w 3076156"/>
                <a:gd name="connsiteY33" fmla="*/ 1337696 h 3097121"/>
                <a:gd name="connsiteX34" fmla="*/ 0 w 3076156"/>
                <a:gd name="connsiteY34" fmla="*/ 215926 h 3097121"/>
                <a:gd name="connsiteX35" fmla="*/ 215926 w 3076156"/>
                <a:gd name="connsiteY35" fmla="*/ 0 h 30971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</a:cxnLst>
              <a:rect l="l" t="t" r="r" b="b"/>
              <a:pathLst>
                <a:path w="3076156" h="3097121">
                  <a:moveTo>
                    <a:pt x="175440" y="2044504"/>
                  </a:moveTo>
                  <a:lnTo>
                    <a:pt x="1120088" y="2044504"/>
                  </a:lnTo>
                  <a:cubicBezTo>
                    <a:pt x="1216981" y="2044504"/>
                    <a:pt x="1295528" y="2123051"/>
                    <a:pt x="1295528" y="2219944"/>
                  </a:cubicBezTo>
                  <a:lnTo>
                    <a:pt x="1295528" y="2921681"/>
                  </a:lnTo>
                  <a:cubicBezTo>
                    <a:pt x="1295528" y="3018574"/>
                    <a:pt x="1216981" y="3097121"/>
                    <a:pt x="1120088" y="3097121"/>
                  </a:cubicBezTo>
                  <a:lnTo>
                    <a:pt x="175440" y="3097121"/>
                  </a:lnTo>
                  <a:cubicBezTo>
                    <a:pt x="78547" y="3097121"/>
                    <a:pt x="0" y="3018574"/>
                    <a:pt x="0" y="2921681"/>
                  </a:cubicBezTo>
                  <a:lnTo>
                    <a:pt x="0" y="2219944"/>
                  </a:lnTo>
                  <a:cubicBezTo>
                    <a:pt x="0" y="2123051"/>
                    <a:pt x="78547" y="2044504"/>
                    <a:pt x="175440" y="2044504"/>
                  </a:cubicBezTo>
                  <a:close/>
                  <a:moveTo>
                    <a:pt x="1996554" y="1543499"/>
                  </a:moveTo>
                  <a:lnTo>
                    <a:pt x="2860230" y="1543499"/>
                  </a:lnTo>
                  <a:cubicBezTo>
                    <a:pt x="2979483" y="1543499"/>
                    <a:pt x="3076156" y="1640172"/>
                    <a:pt x="3076156" y="1759425"/>
                  </a:cubicBezTo>
                  <a:lnTo>
                    <a:pt x="3076156" y="2881195"/>
                  </a:lnTo>
                  <a:cubicBezTo>
                    <a:pt x="3076156" y="3000448"/>
                    <a:pt x="2979483" y="3097121"/>
                    <a:pt x="2860230" y="3097121"/>
                  </a:cubicBezTo>
                  <a:lnTo>
                    <a:pt x="1996554" y="3097121"/>
                  </a:lnTo>
                  <a:cubicBezTo>
                    <a:pt x="1877301" y="3097121"/>
                    <a:pt x="1780628" y="3000448"/>
                    <a:pt x="1780628" y="2881195"/>
                  </a:cubicBezTo>
                  <a:lnTo>
                    <a:pt x="1780628" y="1759425"/>
                  </a:lnTo>
                  <a:cubicBezTo>
                    <a:pt x="1780628" y="1640172"/>
                    <a:pt x="1877301" y="1543499"/>
                    <a:pt x="1996554" y="1543499"/>
                  </a:cubicBezTo>
                  <a:close/>
                  <a:moveTo>
                    <a:pt x="1956068" y="0"/>
                  </a:moveTo>
                  <a:lnTo>
                    <a:pt x="2900716" y="0"/>
                  </a:lnTo>
                  <a:cubicBezTo>
                    <a:pt x="2997609" y="0"/>
                    <a:pt x="3076156" y="78547"/>
                    <a:pt x="3076156" y="175440"/>
                  </a:cubicBezTo>
                  <a:lnTo>
                    <a:pt x="3076156" y="877177"/>
                  </a:lnTo>
                  <a:cubicBezTo>
                    <a:pt x="3076156" y="974070"/>
                    <a:pt x="2997609" y="1052617"/>
                    <a:pt x="2900716" y="1052617"/>
                  </a:cubicBezTo>
                  <a:lnTo>
                    <a:pt x="1956068" y="1052617"/>
                  </a:lnTo>
                  <a:cubicBezTo>
                    <a:pt x="1859175" y="1052617"/>
                    <a:pt x="1780628" y="974070"/>
                    <a:pt x="1780628" y="877177"/>
                  </a:cubicBezTo>
                  <a:lnTo>
                    <a:pt x="1780628" y="175440"/>
                  </a:lnTo>
                  <a:cubicBezTo>
                    <a:pt x="1780628" y="78547"/>
                    <a:pt x="1859175" y="0"/>
                    <a:pt x="1956068" y="0"/>
                  </a:cubicBezTo>
                  <a:close/>
                  <a:moveTo>
                    <a:pt x="215926" y="0"/>
                  </a:moveTo>
                  <a:lnTo>
                    <a:pt x="1079602" y="0"/>
                  </a:lnTo>
                  <a:cubicBezTo>
                    <a:pt x="1198855" y="0"/>
                    <a:pt x="1295528" y="96673"/>
                    <a:pt x="1295528" y="215926"/>
                  </a:cubicBezTo>
                  <a:lnTo>
                    <a:pt x="1295528" y="1337696"/>
                  </a:lnTo>
                  <a:cubicBezTo>
                    <a:pt x="1295528" y="1456949"/>
                    <a:pt x="1198855" y="1553622"/>
                    <a:pt x="1079602" y="1553622"/>
                  </a:cubicBezTo>
                  <a:lnTo>
                    <a:pt x="215926" y="1553622"/>
                  </a:lnTo>
                  <a:cubicBezTo>
                    <a:pt x="96673" y="1553622"/>
                    <a:pt x="0" y="1456949"/>
                    <a:pt x="0" y="1337696"/>
                  </a:cubicBezTo>
                  <a:lnTo>
                    <a:pt x="0" y="215926"/>
                  </a:lnTo>
                  <a:cubicBezTo>
                    <a:pt x="0" y="96673"/>
                    <a:pt x="96673" y="0"/>
                    <a:pt x="215926" y="0"/>
                  </a:cubicBezTo>
                  <a:close/>
                </a:path>
              </a:pathLst>
            </a:custGeom>
            <a:solidFill>
              <a:sysClr val="window" lastClr="FFFFFF"/>
            </a:solidFill>
            <a:ln w="952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07" name="Agrupar 106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0000000-0008-0000-0500-00006B000000}"/>
              </a:ext>
            </a:extLst>
          </xdr:cNvPr>
          <xdr:cNvGrpSpPr/>
        </xdr:nvGrpSpPr>
        <xdr:grpSpPr>
          <a:xfrm>
            <a:off x="6663907" y="123825"/>
            <a:ext cx="1323538" cy="243701"/>
            <a:chOff x="5650832" y="88944"/>
            <a:chExt cx="1329890" cy="243701"/>
          </a:xfrm>
        </xdr:grpSpPr>
        <xdr:sp macro="" textlink="">
          <xdr:nvSpPr>
            <xdr:cNvPr id="124" name="Retângulo: Cantos Arredondados 123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500-00007C000000}"/>
                </a:ext>
              </a:extLst>
            </xdr:cNvPr>
            <xdr:cNvSpPr/>
          </xdr:nvSpPr>
          <xdr:spPr>
            <a:xfrm>
              <a:off x="5650832" y="88944"/>
              <a:ext cx="132989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Carregamentos</a:t>
              </a:r>
            </a:p>
          </xdr:txBody>
        </xdr:sp>
        <xdr:sp macro="" textlink="">
          <xdr:nvSpPr>
            <xdr:cNvPr id="125" name="Forma Livre: Forma 124">
              <a:extLst>
                <a:ext uri="{FF2B5EF4-FFF2-40B4-BE49-F238E27FC236}">
                  <a16:creationId xmlns:a16="http://schemas.microsoft.com/office/drawing/2014/main" id="{00000000-0008-0000-0500-00007D000000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5692742" y="120794"/>
              <a:ext cx="180000" cy="180000"/>
            </a:xfrm>
            <a:custGeom>
              <a:avLst/>
              <a:gdLst>
                <a:gd name="connsiteX0" fmla="*/ 2860562 w 4250871"/>
                <a:gd name="connsiteY0" fmla="*/ 3136711 h 4250873"/>
                <a:gd name="connsiteX1" fmla="*/ 2743390 w 4250871"/>
                <a:gd name="connsiteY1" fmla="*/ 3253883 h 4250873"/>
                <a:gd name="connsiteX2" fmla="*/ 1430254 w 4250871"/>
                <a:gd name="connsiteY2" fmla="*/ 3253883 h 4250873"/>
                <a:gd name="connsiteX3" fmla="*/ 1592348 w 4250871"/>
                <a:gd name="connsiteY3" fmla="*/ 3415977 h 4250873"/>
                <a:gd name="connsiteX4" fmla="*/ 1592348 w 4250871"/>
                <a:gd name="connsiteY4" fmla="*/ 3581683 h 4250873"/>
                <a:gd name="connsiteX5" fmla="*/ 1426642 w 4250871"/>
                <a:gd name="connsiteY5" fmla="*/ 3581683 h 4250873"/>
                <a:gd name="connsiteX6" fmla="*/ 1072656 w 4250871"/>
                <a:gd name="connsiteY6" fmla="*/ 3227696 h 4250873"/>
                <a:gd name="connsiteX7" fmla="*/ 1071717 w 4250871"/>
                <a:gd name="connsiteY7" fmla="*/ 3227127 h 4250873"/>
                <a:gd name="connsiteX8" fmla="*/ 1068045 w 4250871"/>
                <a:gd name="connsiteY8" fmla="*/ 3223086 h 4250873"/>
                <a:gd name="connsiteX9" fmla="*/ 1064523 w 4250871"/>
                <a:gd name="connsiteY9" fmla="*/ 3219563 h 4250873"/>
                <a:gd name="connsiteX10" fmla="*/ 1063649 w 4250871"/>
                <a:gd name="connsiteY10" fmla="*/ 3218248 h 4250873"/>
                <a:gd name="connsiteX11" fmla="*/ 1049089 w 4250871"/>
                <a:gd name="connsiteY11" fmla="*/ 3202223 h 4250873"/>
                <a:gd name="connsiteX12" fmla="*/ 1045750 w 4250871"/>
                <a:gd name="connsiteY12" fmla="*/ 3191293 h 4250873"/>
                <a:gd name="connsiteX13" fmla="*/ 1038784 w 4250871"/>
                <a:gd name="connsiteY13" fmla="*/ 3180802 h 4250873"/>
                <a:gd name="connsiteX14" fmla="*/ 1032182 w 4250871"/>
                <a:gd name="connsiteY14" fmla="*/ 3146874 h 4250873"/>
                <a:gd name="connsiteX15" fmla="*/ 1029077 w 4250871"/>
                <a:gd name="connsiteY15" fmla="*/ 3136711 h 4250873"/>
                <a:gd name="connsiteX16" fmla="*/ 1063396 w 4250871"/>
                <a:gd name="connsiteY16" fmla="*/ 3053858 h 4250873"/>
                <a:gd name="connsiteX17" fmla="*/ 1066851 w 4250871"/>
                <a:gd name="connsiteY17" fmla="*/ 3051529 h 4250873"/>
                <a:gd name="connsiteX18" fmla="*/ 1426642 w 4250871"/>
                <a:gd name="connsiteY18" fmla="*/ 2691737 h 4250873"/>
                <a:gd name="connsiteX19" fmla="*/ 1592348 w 4250871"/>
                <a:gd name="connsiteY19" fmla="*/ 2691737 h 4250873"/>
                <a:gd name="connsiteX20" fmla="*/ 1592348 w 4250871"/>
                <a:gd name="connsiteY20" fmla="*/ 2857443 h 4250873"/>
                <a:gd name="connsiteX21" fmla="*/ 1430252 w 4250871"/>
                <a:gd name="connsiteY21" fmla="*/ 3019539 h 4250873"/>
                <a:gd name="connsiteX22" fmla="*/ 2743390 w 4250871"/>
                <a:gd name="connsiteY22" fmla="*/ 3019539 h 4250873"/>
                <a:gd name="connsiteX23" fmla="*/ 2860562 w 4250871"/>
                <a:gd name="connsiteY23" fmla="*/ 3136711 h 4250873"/>
                <a:gd name="connsiteX24" fmla="*/ 2860562 w 4250871"/>
                <a:gd name="connsiteY24" fmla="*/ 2122041 h 4250873"/>
                <a:gd name="connsiteX25" fmla="*/ 2743390 w 4250871"/>
                <a:gd name="connsiteY25" fmla="*/ 2239213 h 4250873"/>
                <a:gd name="connsiteX26" fmla="*/ 1430254 w 4250871"/>
                <a:gd name="connsiteY26" fmla="*/ 2239213 h 4250873"/>
                <a:gd name="connsiteX27" fmla="*/ 1592348 w 4250871"/>
                <a:gd name="connsiteY27" fmla="*/ 2401307 h 4250873"/>
                <a:gd name="connsiteX28" fmla="*/ 1592348 w 4250871"/>
                <a:gd name="connsiteY28" fmla="*/ 2567013 h 4250873"/>
                <a:gd name="connsiteX29" fmla="*/ 1426642 w 4250871"/>
                <a:gd name="connsiteY29" fmla="*/ 2567013 h 4250873"/>
                <a:gd name="connsiteX30" fmla="*/ 1072656 w 4250871"/>
                <a:gd name="connsiteY30" fmla="*/ 2213026 h 4250873"/>
                <a:gd name="connsiteX31" fmla="*/ 1071717 w 4250871"/>
                <a:gd name="connsiteY31" fmla="*/ 2212457 h 4250873"/>
                <a:gd name="connsiteX32" fmla="*/ 1068045 w 4250871"/>
                <a:gd name="connsiteY32" fmla="*/ 2208416 h 4250873"/>
                <a:gd name="connsiteX33" fmla="*/ 1064523 w 4250871"/>
                <a:gd name="connsiteY33" fmla="*/ 2204893 h 4250873"/>
                <a:gd name="connsiteX34" fmla="*/ 1063649 w 4250871"/>
                <a:gd name="connsiteY34" fmla="*/ 2203578 h 4250873"/>
                <a:gd name="connsiteX35" fmla="*/ 1049089 w 4250871"/>
                <a:gd name="connsiteY35" fmla="*/ 2187553 h 4250873"/>
                <a:gd name="connsiteX36" fmla="*/ 1045750 w 4250871"/>
                <a:gd name="connsiteY36" fmla="*/ 2176623 h 4250873"/>
                <a:gd name="connsiteX37" fmla="*/ 1038784 w 4250871"/>
                <a:gd name="connsiteY37" fmla="*/ 2166132 h 4250873"/>
                <a:gd name="connsiteX38" fmla="*/ 1032182 w 4250871"/>
                <a:gd name="connsiteY38" fmla="*/ 2132204 h 4250873"/>
                <a:gd name="connsiteX39" fmla="*/ 1029077 w 4250871"/>
                <a:gd name="connsiteY39" fmla="*/ 2122041 h 4250873"/>
                <a:gd name="connsiteX40" fmla="*/ 1063396 w 4250871"/>
                <a:gd name="connsiteY40" fmla="*/ 2039188 h 4250873"/>
                <a:gd name="connsiteX41" fmla="*/ 1066851 w 4250871"/>
                <a:gd name="connsiteY41" fmla="*/ 2036859 h 4250873"/>
                <a:gd name="connsiteX42" fmla="*/ 1426642 w 4250871"/>
                <a:gd name="connsiteY42" fmla="*/ 1677067 h 4250873"/>
                <a:gd name="connsiteX43" fmla="*/ 1592348 w 4250871"/>
                <a:gd name="connsiteY43" fmla="*/ 1677067 h 4250873"/>
                <a:gd name="connsiteX44" fmla="*/ 1592348 w 4250871"/>
                <a:gd name="connsiteY44" fmla="*/ 1842773 h 4250873"/>
                <a:gd name="connsiteX45" fmla="*/ 1430252 w 4250871"/>
                <a:gd name="connsiteY45" fmla="*/ 2004869 h 4250873"/>
                <a:gd name="connsiteX46" fmla="*/ 2743390 w 4250871"/>
                <a:gd name="connsiteY46" fmla="*/ 2004869 h 4250873"/>
                <a:gd name="connsiteX47" fmla="*/ 2860562 w 4250871"/>
                <a:gd name="connsiteY47" fmla="*/ 2122041 h 4250873"/>
                <a:gd name="connsiteX48" fmla="*/ 2860562 w 4250871"/>
                <a:gd name="connsiteY48" fmla="*/ 1107371 h 4250873"/>
                <a:gd name="connsiteX49" fmla="*/ 2743390 w 4250871"/>
                <a:gd name="connsiteY49" fmla="*/ 1224543 h 4250873"/>
                <a:gd name="connsiteX50" fmla="*/ 1430254 w 4250871"/>
                <a:gd name="connsiteY50" fmla="*/ 1224543 h 4250873"/>
                <a:gd name="connsiteX51" fmla="*/ 1592348 w 4250871"/>
                <a:gd name="connsiteY51" fmla="*/ 1386637 h 4250873"/>
                <a:gd name="connsiteX52" fmla="*/ 1592348 w 4250871"/>
                <a:gd name="connsiteY52" fmla="*/ 1552343 h 4250873"/>
                <a:gd name="connsiteX53" fmla="*/ 1426642 w 4250871"/>
                <a:gd name="connsiteY53" fmla="*/ 1552343 h 4250873"/>
                <a:gd name="connsiteX54" fmla="*/ 1072656 w 4250871"/>
                <a:gd name="connsiteY54" fmla="*/ 1198356 h 4250873"/>
                <a:gd name="connsiteX55" fmla="*/ 1071717 w 4250871"/>
                <a:gd name="connsiteY55" fmla="*/ 1197787 h 4250873"/>
                <a:gd name="connsiteX56" fmla="*/ 1068045 w 4250871"/>
                <a:gd name="connsiteY56" fmla="*/ 1193746 h 4250873"/>
                <a:gd name="connsiteX57" fmla="*/ 1064523 w 4250871"/>
                <a:gd name="connsiteY57" fmla="*/ 1190223 h 4250873"/>
                <a:gd name="connsiteX58" fmla="*/ 1063649 w 4250871"/>
                <a:gd name="connsiteY58" fmla="*/ 1188908 h 4250873"/>
                <a:gd name="connsiteX59" fmla="*/ 1049089 w 4250871"/>
                <a:gd name="connsiteY59" fmla="*/ 1172883 h 4250873"/>
                <a:gd name="connsiteX60" fmla="*/ 1045750 w 4250871"/>
                <a:gd name="connsiteY60" fmla="*/ 1161953 h 4250873"/>
                <a:gd name="connsiteX61" fmla="*/ 1038784 w 4250871"/>
                <a:gd name="connsiteY61" fmla="*/ 1151462 h 4250873"/>
                <a:gd name="connsiteX62" fmla="*/ 1032182 w 4250871"/>
                <a:gd name="connsiteY62" fmla="*/ 1117534 h 4250873"/>
                <a:gd name="connsiteX63" fmla="*/ 1029077 w 4250871"/>
                <a:gd name="connsiteY63" fmla="*/ 1107371 h 4250873"/>
                <a:gd name="connsiteX64" fmla="*/ 1063396 w 4250871"/>
                <a:gd name="connsiteY64" fmla="*/ 1024518 h 4250873"/>
                <a:gd name="connsiteX65" fmla="*/ 1066851 w 4250871"/>
                <a:gd name="connsiteY65" fmla="*/ 1022189 h 4250873"/>
                <a:gd name="connsiteX66" fmla="*/ 1426642 w 4250871"/>
                <a:gd name="connsiteY66" fmla="*/ 662397 h 4250873"/>
                <a:gd name="connsiteX67" fmla="*/ 1592348 w 4250871"/>
                <a:gd name="connsiteY67" fmla="*/ 662397 h 4250873"/>
                <a:gd name="connsiteX68" fmla="*/ 1592348 w 4250871"/>
                <a:gd name="connsiteY68" fmla="*/ 828103 h 4250873"/>
                <a:gd name="connsiteX69" fmla="*/ 1430252 w 4250871"/>
                <a:gd name="connsiteY69" fmla="*/ 990199 h 4250873"/>
                <a:gd name="connsiteX70" fmla="*/ 2743390 w 4250871"/>
                <a:gd name="connsiteY70" fmla="*/ 990199 h 4250873"/>
                <a:gd name="connsiteX71" fmla="*/ 2860562 w 4250871"/>
                <a:gd name="connsiteY71" fmla="*/ 1107371 h 4250873"/>
                <a:gd name="connsiteX72" fmla="*/ 3334103 w 4250871"/>
                <a:gd name="connsiteY72" fmla="*/ 1052131 h 4250873"/>
                <a:gd name="connsiteX73" fmla="*/ 3334103 w 4250871"/>
                <a:gd name="connsiteY73" fmla="*/ 3191951 h 4250873"/>
                <a:gd name="connsiteX74" fmla="*/ 3216931 w 4250871"/>
                <a:gd name="connsiteY74" fmla="*/ 3309123 h 4250873"/>
                <a:gd name="connsiteX75" fmla="*/ 3099759 w 4250871"/>
                <a:gd name="connsiteY75" fmla="*/ 3191951 h 4250873"/>
                <a:gd name="connsiteX76" fmla="*/ 3099759 w 4250871"/>
                <a:gd name="connsiteY76" fmla="*/ 1052131 h 4250873"/>
                <a:gd name="connsiteX77" fmla="*/ 3216931 w 4250871"/>
                <a:gd name="connsiteY77" fmla="*/ 934959 h 4250873"/>
                <a:gd name="connsiteX78" fmla="*/ 3334103 w 4250871"/>
                <a:gd name="connsiteY78" fmla="*/ 1052131 h 4250873"/>
                <a:gd name="connsiteX79" fmla="*/ 3984408 w 4250871"/>
                <a:gd name="connsiteY79" fmla="*/ 2125436 h 4250873"/>
                <a:gd name="connsiteX80" fmla="*/ 2125437 w 4250871"/>
                <a:gd name="connsiteY80" fmla="*/ 266463 h 4250873"/>
                <a:gd name="connsiteX81" fmla="*/ 266465 w 4250871"/>
                <a:gd name="connsiteY81" fmla="*/ 2125435 h 4250873"/>
                <a:gd name="connsiteX82" fmla="*/ 2125437 w 4250871"/>
                <a:gd name="connsiteY82" fmla="*/ 3984408 h 4250873"/>
                <a:gd name="connsiteX83" fmla="*/ 3984408 w 4250871"/>
                <a:gd name="connsiteY83" fmla="*/ 2125436 h 4250873"/>
                <a:gd name="connsiteX84" fmla="*/ 4250871 w 4250871"/>
                <a:gd name="connsiteY84" fmla="*/ 2125437 h 4250873"/>
                <a:gd name="connsiteX85" fmla="*/ 2125436 w 4250871"/>
                <a:gd name="connsiteY85" fmla="*/ 4250873 h 4250873"/>
                <a:gd name="connsiteX86" fmla="*/ 0 w 4250871"/>
                <a:gd name="connsiteY86" fmla="*/ 2125436 h 4250873"/>
                <a:gd name="connsiteX87" fmla="*/ 2125436 w 4250871"/>
                <a:gd name="connsiteY87" fmla="*/ 0 h 4250873"/>
                <a:gd name="connsiteX88" fmla="*/ 4250871 w 4250871"/>
                <a:gd name="connsiteY88" fmla="*/ 2125437 h 42508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</a:cxnLst>
              <a:rect l="l" t="t" r="r" b="b"/>
              <a:pathLst>
                <a:path w="4250871" h="4250873">
                  <a:moveTo>
                    <a:pt x="2860562" y="3136711"/>
                  </a:moveTo>
                  <a:cubicBezTo>
                    <a:pt x="2860562" y="3201423"/>
                    <a:pt x="2808102" y="3253883"/>
                    <a:pt x="2743390" y="3253883"/>
                  </a:cubicBezTo>
                  <a:lnTo>
                    <a:pt x="1430254" y="3253883"/>
                  </a:lnTo>
                  <a:lnTo>
                    <a:pt x="1592348" y="3415977"/>
                  </a:lnTo>
                  <a:cubicBezTo>
                    <a:pt x="1638107" y="3461735"/>
                    <a:pt x="1638107" y="3535925"/>
                    <a:pt x="1592348" y="3581683"/>
                  </a:cubicBezTo>
                  <a:cubicBezTo>
                    <a:pt x="1546590" y="3627443"/>
                    <a:pt x="1472401" y="3627443"/>
                    <a:pt x="1426642" y="3581683"/>
                  </a:cubicBezTo>
                  <a:lnTo>
                    <a:pt x="1072656" y="3227696"/>
                  </a:lnTo>
                  <a:lnTo>
                    <a:pt x="1071717" y="3227127"/>
                  </a:lnTo>
                  <a:lnTo>
                    <a:pt x="1068045" y="3223086"/>
                  </a:lnTo>
                  <a:lnTo>
                    <a:pt x="1064523" y="3219563"/>
                  </a:lnTo>
                  <a:lnTo>
                    <a:pt x="1063649" y="3218248"/>
                  </a:lnTo>
                  <a:lnTo>
                    <a:pt x="1049089" y="3202223"/>
                  </a:lnTo>
                  <a:lnTo>
                    <a:pt x="1045750" y="3191293"/>
                  </a:lnTo>
                  <a:lnTo>
                    <a:pt x="1038784" y="3180802"/>
                  </a:lnTo>
                  <a:lnTo>
                    <a:pt x="1032182" y="3146874"/>
                  </a:lnTo>
                  <a:lnTo>
                    <a:pt x="1029077" y="3136711"/>
                  </a:lnTo>
                  <a:cubicBezTo>
                    <a:pt x="1029077" y="3104355"/>
                    <a:pt x="1042192" y="3075062"/>
                    <a:pt x="1063396" y="3053858"/>
                  </a:cubicBezTo>
                  <a:lnTo>
                    <a:pt x="1066851" y="3051529"/>
                  </a:lnTo>
                  <a:lnTo>
                    <a:pt x="1426642" y="2691737"/>
                  </a:lnTo>
                  <a:cubicBezTo>
                    <a:pt x="1472401" y="2645978"/>
                    <a:pt x="1546590" y="2645978"/>
                    <a:pt x="1592348" y="2691737"/>
                  </a:cubicBezTo>
                  <a:cubicBezTo>
                    <a:pt x="1638107" y="2737495"/>
                    <a:pt x="1638107" y="2811685"/>
                    <a:pt x="1592348" y="2857443"/>
                  </a:cubicBezTo>
                  <a:lnTo>
                    <a:pt x="1430252" y="3019539"/>
                  </a:lnTo>
                  <a:lnTo>
                    <a:pt x="2743390" y="3019539"/>
                  </a:lnTo>
                  <a:cubicBezTo>
                    <a:pt x="2808102" y="3019539"/>
                    <a:pt x="2860562" y="3071999"/>
                    <a:pt x="2860562" y="3136711"/>
                  </a:cubicBezTo>
                  <a:close/>
                  <a:moveTo>
                    <a:pt x="2860562" y="2122041"/>
                  </a:moveTo>
                  <a:cubicBezTo>
                    <a:pt x="2860562" y="2186753"/>
                    <a:pt x="2808102" y="2239213"/>
                    <a:pt x="2743390" y="2239213"/>
                  </a:cubicBezTo>
                  <a:lnTo>
                    <a:pt x="1430254" y="2239213"/>
                  </a:lnTo>
                  <a:lnTo>
                    <a:pt x="1592348" y="2401307"/>
                  </a:lnTo>
                  <a:cubicBezTo>
                    <a:pt x="1638107" y="2447065"/>
                    <a:pt x="1638107" y="2521255"/>
                    <a:pt x="1592348" y="2567013"/>
                  </a:cubicBezTo>
                  <a:cubicBezTo>
                    <a:pt x="1546590" y="2612772"/>
                    <a:pt x="1472401" y="2612772"/>
                    <a:pt x="1426642" y="2567013"/>
                  </a:cubicBezTo>
                  <a:lnTo>
                    <a:pt x="1072656" y="2213026"/>
                  </a:lnTo>
                  <a:lnTo>
                    <a:pt x="1071717" y="2212457"/>
                  </a:lnTo>
                  <a:lnTo>
                    <a:pt x="1068045" y="2208416"/>
                  </a:lnTo>
                  <a:lnTo>
                    <a:pt x="1064523" y="2204893"/>
                  </a:lnTo>
                  <a:lnTo>
                    <a:pt x="1063649" y="2203578"/>
                  </a:lnTo>
                  <a:lnTo>
                    <a:pt x="1049089" y="2187553"/>
                  </a:lnTo>
                  <a:lnTo>
                    <a:pt x="1045750" y="2176623"/>
                  </a:lnTo>
                  <a:lnTo>
                    <a:pt x="1038784" y="2166132"/>
                  </a:lnTo>
                  <a:lnTo>
                    <a:pt x="1032182" y="2132204"/>
                  </a:lnTo>
                  <a:lnTo>
                    <a:pt x="1029077" y="2122041"/>
                  </a:lnTo>
                  <a:cubicBezTo>
                    <a:pt x="1029077" y="2089685"/>
                    <a:pt x="1042192" y="2060392"/>
                    <a:pt x="1063396" y="2039188"/>
                  </a:cubicBezTo>
                  <a:lnTo>
                    <a:pt x="1066851" y="2036859"/>
                  </a:lnTo>
                  <a:lnTo>
                    <a:pt x="1426642" y="1677067"/>
                  </a:lnTo>
                  <a:cubicBezTo>
                    <a:pt x="1472401" y="1631308"/>
                    <a:pt x="1546590" y="1631308"/>
                    <a:pt x="1592348" y="1677067"/>
                  </a:cubicBezTo>
                  <a:cubicBezTo>
                    <a:pt x="1638107" y="1722825"/>
                    <a:pt x="1638107" y="1797015"/>
                    <a:pt x="1592348" y="1842773"/>
                  </a:cubicBezTo>
                  <a:lnTo>
                    <a:pt x="1430252" y="2004869"/>
                  </a:lnTo>
                  <a:lnTo>
                    <a:pt x="2743390" y="2004869"/>
                  </a:lnTo>
                  <a:cubicBezTo>
                    <a:pt x="2808102" y="2004869"/>
                    <a:pt x="2860562" y="2057329"/>
                    <a:pt x="2860562" y="2122041"/>
                  </a:cubicBezTo>
                  <a:close/>
                  <a:moveTo>
                    <a:pt x="2860562" y="1107371"/>
                  </a:moveTo>
                  <a:cubicBezTo>
                    <a:pt x="2860562" y="1172083"/>
                    <a:pt x="2808102" y="1224543"/>
                    <a:pt x="2743390" y="1224543"/>
                  </a:cubicBezTo>
                  <a:lnTo>
                    <a:pt x="1430254" y="1224543"/>
                  </a:lnTo>
                  <a:lnTo>
                    <a:pt x="1592348" y="1386637"/>
                  </a:lnTo>
                  <a:cubicBezTo>
                    <a:pt x="1638107" y="1432395"/>
                    <a:pt x="1638107" y="1506585"/>
                    <a:pt x="1592348" y="1552343"/>
                  </a:cubicBezTo>
                  <a:cubicBezTo>
                    <a:pt x="1546590" y="1598102"/>
                    <a:pt x="1472401" y="1598102"/>
                    <a:pt x="1426642" y="1552343"/>
                  </a:cubicBezTo>
                  <a:lnTo>
                    <a:pt x="1072656" y="1198356"/>
                  </a:lnTo>
                  <a:lnTo>
                    <a:pt x="1071717" y="1197787"/>
                  </a:lnTo>
                  <a:lnTo>
                    <a:pt x="1068045" y="1193746"/>
                  </a:lnTo>
                  <a:lnTo>
                    <a:pt x="1064523" y="1190223"/>
                  </a:lnTo>
                  <a:lnTo>
                    <a:pt x="1063649" y="1188908"/>
                  </a:lnTo>
                  <a:lnTo>
                    <a:pt x="1049089" y="1172883"/>
                  </a:lnTo>
                  <a:lnTo>
                    <a:pt x="1045750" y="1161953"/>
                  </a:lnTo>
                  <a:lnTo>
                    <a:pt x="1038784" y="1151462"/>
                  </a:lnTo>
                  <a:lnTo>
                    <a:pt x="1032182" y="1117534"/>
                  </a:lnTo>
                  <a:lnTo>
                    <a:pt x="1029077" y="1107371"/>
                  </a:lnTo>
                  <a:cubicBezTo>
                    <a:pt x="1029077" y="1075015"/>
                    <a:pt x="1042192" y="1045722"/>
                    <a:pt x="1063396" y="1024518"/>
                  </a:cubicBezTo>
                  <a:lnTo>
                    <a:pt x="1066851" y="1022189"/>
                  </a:lnTo>
                  <a:lnTo>
                    <a:pt x="1426642" y="662397"/>
                  </a:lnTo>
                  <a:cubicBezTo>
                    <a:pt x="1472401" y="616638"/>
                    <a:pt x="1546590" y="616638"/>
                    <a:pt x="1592348" y="662397"/>
                  </a:cubicBezTo>
                  <a:cubicBezTo>
                    <a:pt x="1638107" y="708155"/>
                    <a:pt x="1638107" y="782345"/>
                    <a:pt x="1592348" y="828103"/>
                  </a:cubicBezTo>
                  <a:lnTo>
                    <a:pt x="1430252" y="990199"/>
                  </a:lnTo>
                  <a:lnTo>
                    <a:pt x="2743390" y="990199"/>
                  </a:lnTo>
                  <a:cubicBezTo>
                    <a:pt x="2808102" y="990199"/>
                    <a:pt x="2860562" y="1042659"/>
                    <a:pt x="2860562" y="1107371"/>
                  </a:cubicBezTo>
                  <a:close/>
                  <a:moveTo>
                    <a:pt x="3334103" y="1052131"/>
                  </a:moveTo>
                  <a:lnTo>
                    <a:pt x="3334103" y="3191951"/>
                  </a:lnTo>
                  <a:cubicBezTo>
                    <a:pt x="3334103" y="3256663"/>
                    <a:pt x="3281643" y="3309123"/>
                    <a:pt x="3216931" y="3309123"/>
                  </a:cubicBezTo>
                  <a:cubicBezTo>
                    <a:pt x="3152219" y="3309123"/>
                    <a:pt x="3099759" y="3256663"/>
                    <a:pt x="3099759" y="3191951"/>
                  </a:cubicBezTo>
                  <a:lnTo>
                    <a:pt x="3099759" y="1052131"/>
                  </a:lnTo>
                  <a:cubicBezTo>
                    <a:pt x="3099759" y="987419"/>
                    <a:pt x="3152219" y="934959"/>
                    <a:pt x="3216931" y="934959"/>
                  </a:cubicBezTo>
                  <a:cubicBezTo>
                    <a:pt x="3281643" y="934959"/>
                    <a:pt x="3334103" y="987419"/>
                    <a:pt x="3334103" y="1052131"/>
                  </a:cubicBezTo>
                  <a:close/>
                  <a:moveTo>
                    <a:pt x="3984408" y="2125436"/>
                  </a:moveTo>
                  <a:cubicBezTo>
                    <a:pt x="3984408" y="1098754"/>
                    <a:pt x="3152119" y="266464"/>
                    <a:pt x="2125437" y="266463"/>
                  </a:cubicBezTo>
                  <a:cubicBezTo>
                    <a:pt x="1098755" y="266463"/>
                    <a:pt x="266465" y="1098753"/>
                    <a:pt x="266465" y="2125435"/>
                  </a:cubicBezTo>
                  <a:cubicBezTo>
                    <a:pt x="266464" y="3152118"/>
                    <a:pt x="1098755" y="3984408"/>
                    <a:pt x="2125437" y="3984408"/>
                  </a:cubicBezTo>
                  <a:cubicBezTo>
                    <a:pt x="3152119" y="3984408"/>
                    <a:pt x="3984408" y="3152118"/>
                    <a:pt x="3984408" y="2125436"/>
                  </a:cubicBezTo>
                  <a:close/>
                  <a:moveTo>
                    <a:pt x="4250871" y="2125437"/>
                  </a:moveTo>
                  <a:cubicBezTo>
                    <a:pt x="4250871" y="3299283"/>
                    <a:pt x="3299282" y="4250873"/>
                    <a:pt x="2125436" y="4250873"/>
                  </a:cubicBezTo>
                  <a:cubicBezTo>
                    <a:pt x="951589" y="4250873"/>
                    <a:pt x="-1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ubicBezTo>
                    <a:pt x="3299282" y="1"/>
                    <a:pt x="4250871" y="951591"/>
                    <a:pt x="4250871" y="2125437"/>
                  </a:cubicBezTo>
                  <a:close/>
                </a:path>
              </a:pathLst>
            </a:cu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08" name="Agrupar 10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0000000-0008-0000-0500-00006C000000}"/>
              </a:ext>
            </a:extLst>
          </xdr:cNvPr>
          <xdr:cNvGrpSpPr/>
        </xdr:nvGrpSpPr>
        <xdr:grpSpPr>
          <a:xfrm>
            <a:off x="8233479" y="123825"/>
            <a:ext cx="1268332" cy="243701"/>
            <a:chOff x="7056922" y="88944"/>
            <a:chExt cx="1271770" cy="243701"/>
          </a:xfrm>
        </xdr:grpSpPr>
        <xdr:sp macro="" textlink="">
          <xdr:nvSpPr>
            <xdr:cNvPr id="122" name="Retângulo: Cantos Arredondados 121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500-00007A000000}"/>
                </a:ext>
              </a:extLst>
            </xdr:cNvPr>
            <xdr:cNvSpPr/>
          </xdr:nvSpPr>
          <xdr:spPr>
            <a:xfrm>
              <a:off x="7056922" y="88944"/>
              <a:ext cx="127177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Combinações</a:t>
              </a:r>
            </a:p>
          </xdr:txBody>
        </xdr:sp>
        <xdr:sp macro="" textlink="">
          <xdr:nvSpPr>
            <xdr:cNvPr id="123" name="Forma Livre: Forma 122">
              <a:extLst>
                <a:ext uri="{FF2B5EF4-FFF2-40B4-BE49-F238E27FC236}">
                  <a16:creationId xmlns:a16="http://schemas.microsoft.com/office/drawing/2014/main" id="{00000000-0008-0000-0500-00007B000000}"/>
                </a:ext>
              </a:extLst>
            </xdr:cNvPr>
            <xdr:cNvSpPr>
              <a:spLocks noChangeAspect="1"/>
            </xdr:cNvSpPr>
          </xdr:nvSpPr>
          <xdr:spPr>
            <a:xfrm>
              <a:off x="7119137" y="117836"/>
              <a:ext cx="185995" cy="180000"/>
            </a:xfrm>
            <a:custGeom>
              <a:avLst/>
              <a:gdLst>
                <a:gd name="connsiteX0" fmla="*/ 2278531 w 3569686"/>
                <a:gd name="connsiteY0" fmla="*/ 2328860 h 3454629"/>
                <a:gd name="connsiteX1" fmla="*/ 2194294 w 3569686"/>
                <a:gd name="connsiteY1" fmla="*/ 2363873 h 3454629"/>
                <a:gd name="connsiteX2" fmla="*/ 1775189 w 3569686"/>
                <a:gd name="connsiteY2" fmla="*/ 2437837 h 3454629"/>
                <a:gd name="connsiteX3" fmla="*/ 1300731 w 3569686"/>
                <a:gd name="connsiteY3" fmla="*/ 2342048 h 3454629"/>
                <a:gd name="connsiteX4" fmla="*/ 1289766 w 3569686"/>
                <a:gd name="connsiteY4" fmla="*/ 2336766 h 3454629"/>
                <a:gd name="connsiteX5" fmla="*/ 1290167 w 3569686"/>
                <a:gd name="connsiteY5" fmla="*/ 2344713 h 3454629"/>
                <a:gd name="connsiteX6" fmla="*/ 1633943 w 3569686"/>
                <a:gd name="connsiteY6" fmla="*/ 3024860 h 3454629"/>
                <a:gd name="connsiteX7" fmla="*/ 1767728 w 3569686"/>
                <a:gd name="connsiteY7" fmla="*/ 3126135 h 3454629"/>
                <a:gd name="connsiteX8" fmla="*/ 1814987 w 3569686"/>
                <a:gd name="connsiteY8" fmla="*/ 3097424 h 3454629"/>
                <a:gd name="connsiteX9" fmla="*/ 2263363 w 3569686"/>
                <a:gd name="connsiteY9" fmla="*/ 2428251 h 3454629"/>
                <a:gd name="connsiteX10" fmla="*/ 2982129 w 3569686"/>
                <a:gd name="connsiteY10" fmla="*/ 1380800 h 3454629"/>
                <a:gd name="connsiteX11" fmla="*/ 2969344 w 3569686"/>
                <a:gd name="connsiteY11" fmla="*/ 1464573 h 3454629"/>
                <a:gd name="connsiteX12" fmla="*/ 2550535 w 3569686"/>
                <a:gd name="connsiteY12" fmla="*/ 2159495 h 3454629"/>
                <a:gd name="connsiteX13" fmla="*/ 2436571 w 3569686"/>
                <a:gd name="connsiteY13" fmla="*/ 2238469 h 3454629"/>
                <a:gd name="connsiteX14" fmla="*/ 2431544 w 3569686"/>
                <a:gd name="connsiteY14" fmla="*/ 2338022 h 3454629"/>
                <a:gd name="connsiteX15" fmla="*/ 1994264 w 3569686"/>
                <a:gd name="connsiteY15" fmla="*/ 3153971 h 3454629"/>
                <a:gd name="connsiteX16" fmla="*/ 1919588 w 3569686"/>
                <a:gd name="connsiteY16" fmla="*/ 3209813 h 3454629"/>
                <a:gd name="connsiteX17" fmla="*/ 1959854 w 3569686"/>
                <a:gd name="connsiteY17" fmla="*/ 3227866 h 3454629"/>
                <a:gd name="connsiteX18" fmla="*/ 2350767 w 3569686"/>
                <a:gd name="connsiteY18" fmla="*/ 3301814 h 3454629"/>
                <a:gd name="connsiteX19" fmla="*/ 3416871 w 3569686"/>
                <a:gd name="connsiteY19" fmla="*/ 2235710 h 3454629"/>
                <a:gd name="connsiteX20" fmla="*/ 3104616 w 3569686"/>
                <a:gd name="connsiteY20" fmla="*/ 1481861 h 3454629"/>
                <a:gd name="connsiteX21" fmla="*/ 565923 w 3569686"/>
                <a:gd name="connsiteY21" fmla="*/ 1371932 h 3454629"/>
                <a:gd name="connsiteX22" fmla="*/ 540777 w 3569686"/>
                <a:gd name="connsiteY22" fmla="*/ 1390737 h 3454629"/>
                <a:gd name="connsiteX23" fmla="*/ 152814 w 3569686"/>
                <a:gd name="connsiteY23" fmla="*/ 2213394 h 3454629"/>
                <a:gd name="connsiteX24" fmla="*/ 1218918 w 3569686"/>
                <a:gd name="connsiteY24" fmla="*/ 3279498 h 3454629"/>
                <a:gd name="connsiteX25" fmla="*/ 1535945 w 3569686"/>
                <a:gd name="connsiteY25" fmla="*/ 3231568 h 3454629"/>
                <a:gd name="connsiteX26" fmla="*/ 1610884 w 3569686"/>
                <a:gd name="connsiteY26" fmla="*/ 3204140 h 3454629"/>
                <a:gd name="connsiteX27" fmla="*/ 1531194 w 3569686"/>
                <a:gd name="connsiteY27" fmla="*/ 3137976 h 3454629"/>
                <a:gd name="connsiteX28" fmla="*/ 1138142 w 3569686"/>
                <a:gd name="connsiteY28" fmla="*/ 2360338 h 3454629"/>
                <a:gd name="connsiteX29" fmla="*/ 1132742 w 3569686"/>
                <a:gd name="connsiteY29" fmla="*/ 2253396 h 3454629"/>
                <a:gd name="connsiteX30" fmla="*/ 1093680 w 3569686"/>
                <a:gd name="connsiteY30" fmla="*/ 2229665 h 3454629"/>
                <a:gd name="connsiteX31" fmla="*/ 566064 w 3569686"/>
                <a:gd name="connsiteY31" fmla="*/ 1374164 h 3454629"/>
                <a:gd name="connsiteX32" fmla="*/ 1802664 w 3569686"/>
                <a:gd name="connsiteY32" fmla="*/ 1321878 h 3454629"/>
                <a:gd name="connsiteX33" fmla="*/ 1787007 w 3569686"/>
                <a:gd name="connsiteY33" fmla="*/ 1330692 h 3454629"/>
                <a:gd name="connsiteX34" fmla="*/ 1290167 w 3569686"/>
                <a:gd name="connsiteY34" fmla="*/ 2126707 h 3454629"/>
                <a:gd name="connsiteX35" fmla="*/ 1288156 w 3569686"/>
                <a:gd name="connsiteY35" fmla="*/ 2166531 h 3454629"/>
                <a:gd name="connsiteX36" fmla="*/ 1360213 w 3569686"/>
                <a:gd name="connsiteY36" fmla="*/ 2201242 h 3454629"/>
                <a:gd name="connsiteX37" fmla="*/ 1775189 w 3569686"/>
                <a:gd name="connsiteY37" fmla="*/ 2285022 h 3454629"/>
                <a:gd name="connsiteX38" fmla="*/ 2254778 w 3569686"/>
                <a:gd name="connsiteY38" fmla="*/ 2171317 h 3454629"/>
                <a:gd name="connsiteX39" fmla="*/ 2282120 w 3569686"/>
                <a:gd name="connsiteY39" fmla="*/ 2155926 h 3454629"/>
                <a:gd name="connsiteX40" fmla="*/ 2279518 w 3569686"/>
                <a:gd name="connsiteY40" fmla="*/ 2104391 h 3454629"/>
                <a:gd name="connsiteX41" fmla="*/ 1814987 w 3569686"/>
                <a:gd name="connsiteY41" fmla="*/ 1329364 h 3454629"/>
                <a:gd name="connsiteX42" fmla="*/ 2350767 w 3569686"/>
                <a:gd name="connsiteY42" fmla="*/ 1169606 h 3454629"/>
                <a:gd name="connsiteX43" fmla="*/ 1959854 w 3569686"/>
                <a:gd name="connsiteY43" fmla="*/ 1243555 h 3454629"/>
                <a:gd name="connsiteX44" fmla="*/ 1956901 w 3569686"/>
                <a:gd name="connsiteY44" fmla="*/ 1244879 h 3454629"/>
                <a:gd name="connsiteX45" fmla="*/ 1994264 w 3569686"/>
                <a:gd name="connsiteY45" fmla="*/ 1272818 h 3454629"/>
                <a:gd name="connsiteX46" fmla="*/ 2413073 w 3569686"/>
                <a:gd name="connsiteY46" fmla="*/ 1967740 h 3454629"/>
                <a:gd name="connsiteX47" fmla="*/ 2426766 w 3569686"/>
                <a:gd name="connsiteY47" fmla="*/ 2057460 h 3454629"/>
                <a:gd name="connsiteX48" fmla="*/ 2492013 w 3569686"/>
                <a:gd name="connsiteY48" fmla="*/ 2008067 h 3454629"/>
                <a:gd name="connsiteX49" fmla="*/ 2835789 w 3569686"/>
                <a:gd name="connsiteY49" fmla="*/ 1327921 h 3454629"/>
                <a:gd name="connsiteX50" fmla="*/ 2837800 w 3569686"/>
                <a:gd name="connsiteY50" fmla="*/ 1288098 h 3454629"/>
                <a:gd name="connsiteX51" fmla="*/ 2765743 w 3569686"/>
                <a:gd name="connsiteY51" fmla="*/ 1253386 h 3454629"/>
                <a:gd name="connsiteX52" fmla="*/ 2350767 w 3569686"/>
                <a:gd name="connsiteY52" fmla="*/ 1169606 h 3454629"/>
                <a:gd name="connsiteX53" fmla="*/ 1218918 w 3569686"/>
                <a:gd name="connsiteY53" fmla="*/ 1147290 h 3454629"/>
                <a:gd name="connsiteX54" fmla="*/ 803942 w 3569686"/>
                <a:gd name="connsiteY54" fmla="*/ 1231070 h 3454629"/>
                <a:gd name="connsiteX55" fmla="*/ 711937 w 3569686"/>
                <a:gd name="connsiteY55" fmla="*/ 1275391 h 3454629"/>
                <a:gd name="connsiteX56" fmla="*/ 714589 w 3569686"/>
                <a:gd name="connsiteY56" fmla="*/ 1327921 h 3454629"/>
                <a:gd name="connsiteX57" fmla="*/ 1021340 w 3569686"/>
                <a:gd name="connsiteY57" fmla="*/ 1972767 h 3454629"/>
                <a:gd name="connsiteX58" fmla="*/ 1143828 w 3569686"/>
                <a:gd name="connsiteY58" fmla="*/ 2073829 h 3454629"/>
                <a:gd name="connsiteX59" fmla="*/ 1156613 w 3569686"/>
                <a:gd name="connsiteY59" fmla="*/ 1990056 h 3454629"/>
                <a:gd name="connsiteX60" fmla="*/ 1575422 w 3569686"/>
                <a:gd name="connsiteY60" fmla="*/ 1295134 h 3454629"/>
                <a:gd name="connsiteX61" fmla="*/ 1653937 w 3569686"/>
                <a:gd name="connsiteY61" fmla="*/ 1240725 h 3454629"/>
                <a:gd name="connsiteX62" fmla="*/ 1633894 w 3569686"/>
                <a:gd name="connsiteY62" fmla="*/ 1231070 h 3454629"/>
                <a:gd name="connsiteX63" fmla="*/ 1218918 w 3569686"/>
                <a:gd name="connsiteY63" fmla="*/ 1147290 h 3454629"/>
                <a:gd name="connsiteX64" fmla="*/ 1775189 w 3569686"/>
                <a:gd name="connsiteY64" fmla="*/ 152814 h 3454629"/>
                <a:gd name="connsiteX65" fmla="*/ 730744 w 3569686"/>
                <a:gd name="connsiteY65" fmla="*/ 1004061 h 3454629"/>
                <a:gd name="connsiteX66" fmla="*/ 715456 w 3569686"/>
                <a:gd name="connsiteY66" fmla="*/ 1104237 h 3454629"/>
                <a:gd name="connsiteX67" fmla="*/ 744460 w 3569686"/>
                <a:gd name="connsiteY67" fmla="*/ 1090265 h 3454629"/>
                <a:gd name="connsiteX68" fmla="*/ 1218919 w 3569686"/>
                <a:gd name="connsiteY68" fmla="*/ 994476 h 3454629"/>
                <a:gd name="connsiteX69" fmla="*/ 1799928 w 3569686"/>
                <a:gd name="connsiteY69" fmla="*/ 1141593 h 3454629"/>
                <a:gd name="connsiteX70" fmla="*/ 1806707 w 3569686"/>
                <a:gd name="connsiteY70" fmla="*/ 1145712 h 3454629"/>
                <a:gd name="connsiteX71" fmla="*/ 1835682 w 3569686"/>
                <a:gd name="connsiteY71" fmla="*/ 1130650 h 3454629"/>
                <a:gd name="connsiteX72" fmla="*/ 2350767 w 3569686"/>
                <a:gd name="connsiteY72" fmla="*/ 1016792 h 3454629"/>
                <a:gd name="connsiteX73" fmla="*/ 2825226 w 3569686"/>
                <a:gd name="connsiteY73" fmla="*/ 1112581 h 3454629"/>
                <a:gd name="connsiteX74" fmla="*/ 2836190 w 3569686"/>
                <a:gd name="connsiteY74" fmla="*/ 1117863 h 3454629"/>
                <a:gd name="connsiteX75" fmla="*/ 2835789 w 3569686"/>
                <a:gd name="connsiteY75" fmla="*/ 1109915 h 3454629"/>
                <a:gd name="connsiteX76" fmla="*/ 1775189 w 3569686"/>
                <a:gd name="connsiteY76" fmla="*/ 152814 h 3454629"/>
                <a:gd name="connsiteX77" fmla="*/ 1775189 w 3569686"/>
                <a:gd name="connsiteY77" fmla="*/ 0 h 3454629"/>
                <a:gd name="connsiteX78" fmla="*/ 2987815 w 3569686"/>
                <a:gd name="connsiteY78" fmla="*/ 1094291 h 3454629"/>
                <a:gd name="connsiteX79" fmla="*/ 2993215 w 3569686"/>
                <a:gd name="connsiteY79" fmla="*/ 1201234 h 3454629"/>
                <a:gd name="connsiteX80" fmla="*/ 3032277 w 3569686"/>
                <a:gd name="connsiteY80" fmla="*/ 1224964 h 3454629"/>
                <a:gd name="connsiteX81" fmla="*/ 3569686 w 3569686"/>
                <a:gd name="connsiteY81" fmla="*/ 2235711 h 3454629"/>
                <a:gd name="connsiteX82" fmla="*/ 2350767 w 3569686"/>
                <a:gd name="connsiteY82" fmla="*/ 3454629 h 3454629"/>
                <a:gd name="connsiteX83" fmla="*/ 1802434 w 3569686"/>
                <a:gd name="connsiteY83" fmla="*/ 3324626 h 3454629"/>
                <a:gd name="connsiteX84" fmla="*/ 1763533 w 3569686"/>
                <a:gd name="connsiteY84" fmla="*/ 3302729 h 3454629"/>
                <a:gd name="connsiteX85" fmla="*/ 1693377 w 3569686"/>
                <a:gd name="connsiteY85" fmla="*/ 3336525 h 3454629"/>
                <a:gd name="connsiteX86" fmla="*/ 1218919 w 3569686"/>
                <a:gd name="connsiteY86" fmla="*/ 3432313 h 3454629"/>
                <a:gd name="connsiteX87" fmla="*/ 0 w 3569686"/>
                <a:gd name="connsiteY87" fmla="*/ 2213395 h 3454629"/>
                <a:gd name="connsiteX88" fmla="*/ 537410 w 3569686"/>
                <a:gd name="connsiteY88" fmla="*/ 1202648 h 3454629"/>
                <a:gd name="connsiteX89" fmla="*/ 557716 w 3569686"/>
                <a:gd name="connsiteY89" fmla="*/ 1190312 h 3454629"/>
                <a:gd name="connsiteX90" fmla="*/ 562564 w 3569686"/>
                <a:gd name="connsiteY90" fmla="*/ 1094291 h 3454629"/>
                <a:gd name="connsiteX91" fmla="*/ 1775189 w 3569686"/>
                <a:gd name="connsiteY91" fmla="*/ 0 h 345462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</a:cxnLst>
              <a:rect l="l" t="t" r="r" b="b"/>
              <a:pathLst>
                <a:path w="3569686" h="3454629">
                  <a:moveTo>
                    <a:pt x="2278531" y="2328860"/>
                  </a:moveTo>
                  <a:lnTo>
                    <a:pt x="2194294" y="2363873"/>
                  </a:lnTo>
                  <a:cubicBezTo>
                    <a:pt x="2063611" y="2411723"/>
                    <a:pt x="1922450" y="2437837"/>
                    <a:pt x="1775189" y="2437837"/>
                  </a:cubicBezTo>
                  <a:cubicBezTo>
                    <a:pt x="1606892" y="2437837"/>
                    <a:pt x="1446560" y="2403729"/>
                    <a:pt x="1300731" y="2342048"/>
                  </a:cubicBezTo>
                  <a:lnTo>
                    <a:pt x="1289766" y="2336766"/>
                  </a:lnTo>
                  <a:lnTo>
                    <a:pt x="1290167" y="2344713"/>
                  </a:lnTo>
                  <a:cubicBezTo>
                    <a:pt x="1317465" y="2613508"/>
                    <a:pt x="1444616" y="2852783"/>
                    <a:pt x="1633943" y="3024860"/>
                  </a:cubicBezTo>
                  <a:lnTo>
                    <a:pt x="1767728" y="3126135"/>
                  </a:lnTo>
                  <a:lnTo>
                    <a:pt x="1814987" y="3097424"/>
                  </a:lnTo>
                  <a:cubicBezTo>
                    <a:pt x="2041855" y="2944155"/>
                    <a:pt x="2206557" y="2705855"/>
                    <a:pt x="2263363" y="2428251"/>
                  </a:cubicBezTo>
                  <a:close/>
                  <a:moveTo>
                    <a:pt x="2982129" y="1380800"/>
                  </a:moveTo>
                  <a:lnTo>
                    <a:pt x="2969344" y="1464573"/>
                  </a:lnTo>
                  <a:cubicBezTo>
                    <a:pt x="2912514" y="1742294"/>
                    <a:pt x="2761236" y="1985609"/>
                    <a:pt x="2550535" y="2159495"/>
                  </a:cubicBezTo>
                  <a:lnTo>
                    <a:pt x="2436571" y="2238469"/>
                  </a:lnTo>
                  <a:lnTo>
                    <a:pt x="2431544" y="2338022"/>
                  </a:lnTo>
                  <a:cubicBezTo>
                    <a:pt x="2398253" y="2665834"/>
                    <a:pt x="2235065" y="2955245"/>
                    <a:pt x="1994264" y="3153971"/>
                  </a:cubicBezTo>
                  <a:lnTo>
                    <a:pt x="1919588" y="3209813"/>
                  </a:lnTo>
                  <a:lnTo>
                    <a:pt x="1959854" y="3227866"/>
                  </a:lnTo>
                  <a:cubicBezTo>
                    <a:pt x="2080894" y="3275595"/>
                    <a:pt x="2212769" y="3301814"/>
                    <a:pt x="2350767" y="3301814"/>
                  </a:cubicBezTo>
                  <a:cubicBezTo>
                    <a:pt x="2939560" y="3301814"/>
                    <a:pt x="3416871" y="2824503"/>
                    <a:pt x="3416871" y="2235710"/>
                  </a:cubicBezTo>
                  <a:cubicBezTo>
                    <a:pt x="3416871" y="1941314"/>
                    <a:pt x="3297543" y="1674788"/>
                    <a:pt x="3104616" y="1481861"/>
                  </a:cubicBezTo>
                  <a:close/>
                  <a:moveTo>
                    <a:pt x="565923" y="1371932"/>
                  </a:moveTo>
                  <a:lnTo>
                    <a:pt x="540777" y="1390737"/>
                  </a:lnTo>
                  <a:cubicBezTo>
                    <a:pt x="303838" y="1586276"/>
                    <a:pt x="152814" y="1882198"/>
                    <a:pt x="152814" y="2213394"/>
                  </a:cubicBezTo>
                  <a:cubicBezTo>
                    <a:pt x="152814" y="2802187"/>
                    <a:pt x="630125" y="3279498"/>
                    <a:pt x="1218918" y="3279498"/>
                  </a:cubicBezTo>
                  <a:cubicBezTo>
                    <a:pt x="1329317" y="3279498"/>
                    <a:pt x="1435796" y="3262718"/>
                    <a:pt x="1535945" y="3231568"/>
                  </a:cubicBezTo>
                  <a:lnTo>
                    <a:pt x="1610884" y="3204140"/>
                  </a:lnTo>
                  <a:lnTo>
                    <a:pt x="1531194" y="3137976"/>
                  </a:lnTo>
                  <a:cubicBezTo>
                    <a:pt x="1314730" y="2941234"/>
                    <a:pt x="1169353" y="2667662"/>
                    <a:pt x="1138142" y="2360338"/>
                  </a:cubicBezTo>
                  <a:lnTo>
                    <a:pt x="1132742" y="2253396"/>
                  </a:lnTo>
                  <a:lnTo>
                    <a:pt x="1093680" y="2229665"/>
                  </a:lnTo>
                  <a:cubicBezTo>
                    <a:pt x="809975" y="2037998"/>
                    <a:pt x="611300" y="1730027"/>
                    <a:pt x="566064" y="1374164"/>
                  </a:cubicBezTo>
                  <a:close/>
                  <a:moveTo>
                    <a:pt x="1802664" y="1321878"/>
                  </a:moveTo>
                  <a:lnTo>
                    <a:pt x="1787007" y="1330692"/>
                  </a:lnTo>
                  <a:cubicBezTo>
                    <a:pt x="1514433" y="1500845"/>
                    <a:pt x="1324289" y="1790714"/>
                    <a:pt x="1290167" y="2126707"/>
                  </a:cubicBezTo>
                  <a:lnTo>
                    <a:pt x="1288156" y="2166531"/>
                  </a:lnTo>
                  <a:lnTo>
                    <a:pt x="1360213" y="2201242"/>
                  </a:lnTo>
                  <a:cubicBezTo>
                    <a:pt x="1487760" y="2255190"/>
                    <a:pt x="1627991" y="2285022"/>
                    <a:pt x="1775189" y="2285022"/>
                  </a:cubicBezTo>
                  <a:cubicBezTo>
                    <a:pt x="1947687" y="2285022"/>
                    <a:pt x="2110616" y="2244054"/>
                    <a:pt x="2254778" y="2171317"/>
                  </a:cubicBezTo>
                  <a:lnTo>
                    <a:pt x="2282120" y="2155926"/>
                  </a:lnTo>
                  <a:lnTo>
                    <a:pt x="2279518" y="2104391"/>
                  </a:lnTo>
                  <a:cubicBezTo>
                    <a:pt x="2246761" y="1781838"/>
                    <a:pt x="2070214" y="1501792"/>
                    <a:pt x="1814987" y="1329364"/>
                  </a:cubicBezTo>
                  <a:close/>
                  <a:moveTo>
                    <a:pt x="2350767" y="1169606"/>
                  </a:moveTo>
                  <a:cubicBezTo>
                    <a:pt x="2212769" y="1169606"/>
                    <a:pt x="2080894" y="1195826"/>
                    <a:pt x="1959854" y="1243555"/>
                  </a:cubicBezTo>
                  <a:lnTo>
                    <a:pt x="1956901" y="1244879"/>
                  </a:lnTo>
                  <a:lnTo>
                    <a:pt x="1994264" y="1272818"/>
                  </a:lnTo>
                  <a:cubicBezTo>
                    <a:pt x="2204965" y="1446704"/>
                    <a:pt x="2356243" y="1690020"/>
                    <a:pt x="2413073" y="1967740"/>
                  </a:cubicBezTo>
                  <a:lnTo>
                    <a:pt x="2426766" y="2057460"/>
                  </a:lnTo>
                  <a:lnTo>
                    <a:pt x="2492013" y="2008067"/>
                  </a:lnTo>
                  <a:cubicBezTo>
                    <a:pt x="2681340" y="1835991"/>
                    <a:pt x="2808492" y="1596716"/>
                    <a:pt x="2835789" y="1327921"/>
                  </a:cubicBezTo>
                  <a:lnTo>
                    <a:pt x="2837800" y="1288098"/>
                  </a:lnTo>
                  <a:lnTo>
                    <a:pt x="2765743" y="1253386"/>
                  </a:lnTo>
                  <a:cubicBezTo>
                    <a:pt x="2638196" y="1199438"/>
                    <a:pt x="2497965" y="1169606"/>
                    <a:pt x="2350767" y="1169606"/>
                  </a:cubicBezTo>
                  <a:close/>
                  <a:moveTo>
                    <a:pt x="1218918" y="1147290"/>
                  </a:moveTo>
                  <a:cubicBezTo>
                    <a:pt x="1071720" y="1147290"/>
                    <a:pt x="931489" y="1177122"/>
                    <a:pt x="803942" y="1231070"/>
                  </a:cubicBezTo>
                  <a:lnTo>
                    <a:pt x="711937" y="1275391"/>
                  </a:lnTo>
                  <a:lnTo>
                    <a:pt x="714589" y="1327921"/>
                  </a:lnTo>
                  <a:cubicBezTo>
                    <a:pt x="740067" y="1578796"/>
                    <a:pt x="852529" y="1803956"/>
                    <a:pt x="1021340" y="1972767"/>
                  </a:cubicBezTo>
                  <a:lnTo>
                    <a:pt x="1143828" y="2073829"/>
                  </a:lnTo>
                  <a:lnTo>
                    <a:pt x="1156613" y="1990056"/>
                  </a:lnTo>
                  <a:cubicBezTo>
                    <a:pt x="1213443" y="1712336"/>
                    <a:pt x="1364721" y="1469020"/>
                    <a:pt x="1575422" y="1295134"/>
                  </a:cubicBezTo>
                  <a:lnTo>
                    <a:pt x="1653937" y="1240725"/>
                  </a:lnTo>
                  <a:lnTo>
                    <a:pt x="1633894" y="1231070"/>
                  </a:lnTo>
                  <a:cubicBezTo>
                    <a:pt x="1506347" y="1177122"/>
                    <a:pt x="1366116" y="1147290"/>
                    <a:pt x="1218918" y="1147290"/>
                  </a:cubicBezTo>
                  <a:close/>
                  <a:moveTo>
                    <a:pt x="1775189" y="152814"/>
                  </a:moveTo>
                  <a:cubicBezTo>
                    <a:pt x="1259995" y="152814"/>
                    <a:pt x="830155" y="518255"/>
                    <a:pt x="730744" y="1004061"/>
                  </a:cubicBezTo>
                  <a:lnTo>
                    <a:pt x="715456" y="1104237"/>
                  </a:lnTo>
                  <a:lnTo>
                    <a:pt x="744460" y="1090265"/>
                  </a:lnTo>
                  <a:cubicBezTo>
                    <a:pt x="890290" y="1028584"/>
                    <a:pt x="1050621" y="994476"/>
                    <a:pt x="1218919" y="994476"/>
                  </a:cubicBezTo>
                  <a:cubicBezTo>
                    <a:pt x="1429291" y="994476"/>
                    <a:pt x="1627215" y="1047770"/>
                    <a:pt x="1799928" y="1141593"/>
                  </a:cubicBezTo>
                  <a:lnTo>
                    <a:pt x="1806707" y="1145712"/>
                  </a:lnTo>
                  <a:lnTo>
                    <a:pt x="1835682" y="1130650"/>
                  </a:lnTo>
                  <a:cubicBezTo>
                    <a:pt x="1992146" y="1057595"/>
                    <a:pt x="2166692" y="1016792"/>
                    <a:pt x="2350767" y="1016792"/>
                  </a:cubicBezTo>
                  <a:cubicBezTo>
                    <a:pt x="2519065" y="1016792"/>
                    <a:pt x="2679396" y="1050900"/>
                    <a:pt x="2825226" y="1112581"/>
                  </a:cubicBezTo>
                  <a:lnTo>
                    <a:pt x="2836190" y="1117863"/>
                  </a:lnTo>
                  <a:lnTo>
                    <a:pt x="2835789" y="1109915"/>
                  </a:lnTo>
                  <a:cubicBezTo>
                    <a:pt x="2781194" y="572326"/>
                    <a:pt x="2327182" y="152814"/>
                    <a:pt x="1775189" y="152814"/>
                  </a:cubicBezTo>
                  <a:close/>
                  <a:moveTo>
                    <a:pt x="1775189" y="0"/>
                  </a:moveTo>
                  <a:cubicBezTo>
                    <a:pt x="2406306" y="0"/>
                    <a:pt x="2925394" y="479644"/>
                    <a:pt x="2987815" y="1094291"/>
                  </a:cubicBezTo>
                  <a:lnTo>
                    <a:pt x="2993215" y="1201234"/>
                  </a:lnTo>
                  <a:lnTo>
                    <a:pt x="3032277" y="1224964"/>
                  </a:lnTo>
                  <a:cubicBezTo>
                    <a:pt x="3356511" y="1444013"/>
                    <a:pt x="3569686" y="1814967"/>
                    <a:pt x="3569686" y="2235711"/>
                  </a:cubicBezTo>
                  <a:cubicBezTo>
                    <a:pt x="3569686" y="2908901"/>
                    <a:pt x="3023958" y="3454629"/>
                    <a:pt x="2350767" y="3454629"/>
                  </a:cubicBezTo>
                  <a:cubicBezTo>
                    <a:pt x="2153543" y="3454629"/>
                    <a:pt x="1967260" y="3407789"/>
                    <a:pt x="1802434" y="3324626"/>
                  </a:cubicBezTo>
                  <a:lnTo>
                    <a:pt x="1763533" y="3302729"/>
                  </a:lnTo>
                  <a:lnTo>
                    <a:pt x="1693377" y="3336525"/>
                  </a:lnTo>
                  <a:cubicBezTo>
                    <a:pt x="1547548" y="3398205"/>
                    <a:pt x="1387217" y="3432313"/>
                    <a:pt x="1218919" y="3432313"/>
                  </a:cubicBezTo>
                  <a:cubicBezTo>
                    <a:pt x="545728" y="3432313"/>
                    <a:pt x="0" y="2886585"/>
                    <a:pt x="0" y="2213395"/>
                  </a:cubicBezTo>
                  <a:cubicBezTo>
                    <a:pt x="0" y="1792651"/>
                    <a:pt x="213175" y="1421697"/>
                    <a:pt x="537410" y="1202648"/>
                  </a:cubicBezTo>
                  <a:lnTo>
                    <a:pt x="557716" y="1190312"/>
                  </a:lnTo>
                  <a:lnTo>
                    <a:pt x="562564" y="1094291"/>
                  </a:lnTo>
                  <a:cubicBezTo>
                    <a:pt x="624985" y="479644"/>
                    <a:pt x="1144073" y="0"/>
                    <a:pt x="1775189" y="0"/>
                  </a:cubicBezTo>
                  <a:close/>
                </a:path>
              </a:pathLst>
            </a:custGeom>
            <a:solidFill>
              <a:schemeClr val="bg1"/>
            </a:solidFill>
            <a:ln w="190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09" name="Agrupar 108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500-00006D000000}"/>
              </a:ext>
            </a:extLst>
          </xdr:cNvPr>
          <xdr:cNvGrpSpPr/>
        </xdr:nvGrpSpPr>
        <xdr:grpSpPr>
          <a:xfrm>
            <a:off x="9747845" y="123825"/>
            <a:ext cx="1201786" cy="243701"/>
            <a:chOff x="8375383" y="88944"/>
            <a:chExt cx="1206101" cy="243701"/>
          </a:xfrm>
        </xdr:grpSpPr>
        <xdr:sp macro="" textlink="">
          <xdr:nvSpPr>
            <xdr:cNvPr id="120" name="Retângulo: Cantos Arredondados 119">
              <a:extLst>
                <a:ext uri="{FF2B5EF4-FFF2-40B4-BE49-F238E27FC236}">
                  <a16:creationId xmlns:a16="http://schemas.microsoft.com/office/drawing/2014/main" id="{00000000-0008-0000-0500-000078000000}"/>
                </a:ext>
              </a:extLst>
            </xdr:cNvPr>
            <xdr:cNvSpPr/>
          </xdr:nvSpPr>
          <xdr:spPr>
            <a:xfrm>
              <a:off x="8375383" y="88944"/>
              <a:ext cx="1206101" cy="243701"/>
            </a:xfrm>
            <a:prstGeom prst="roundRect">
              <a:avLst>
                <a:gd name="adj" fmla="val 50000"/>
              </a:avLst>
            </a:prstGeom>
            <a:solidFill>
              <a:srgbClr val="FD3F0B"/>
            </a:solidFill>
            <a:ln>
              <a:noFill/>
            </a:ln>
            <a:effectLst>
              <a:outerShdw blurRad="304800" sx="105000" sy="105000" algn="ctr" rotWithShape="0">
                <a:srgbClr val="FB510D">
                  <a:alpha val="54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tIns="468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Verificações</a:t>
              </a:r>
            </a:p>
          </xdr:txBody>
        </xdr:sp>
        <xdr:sp macro="" textlink="">
          <xdr:nvSpPr>
            <xdr:cNvPr id="121" name="Forma Livre: Forma 120">
              <a:extLst>
                <a:ext uri="{FF2B5EF4-FFF2-40B4-BE49-F238E27FC236}">
                  <a16:creationId xmlns:a16="http://schemas.microsoft.com/office/drawing/2014/main" id="{00000000-0008-0000-0500-000079000000}"/>
                </a:ext>
              </a:extLst>
            </xdr:cNvPr>
            <xdr:cNvSpPr>
              <a:spLocks noChangeAspect="1"/>
            </xdr:cNvSpPr>
          </xdr:nvSpPr>
          <xdr:spPr>
            <a:xfrm>
              <a:off x="8457315" y="108962"/>
              <a:ext cx="135198" cy="180000"/>
            </a:xfrm>
            <a:custGeom>
              <a:avLst/>
              <a:gdLst>
                <a:gd name="connsiteX0" fmla="*/ 1581153 w 2535787"/>
                <a:gd name="connsiteY0" fmla="*/ 2322953 h 3376090"/>
                <a:gd name="connsiteX1" fmla="*/ 1482262 w 2535787"/>
                <a:gd name="connsiteY1" fmla="*/ 2388502 h 3376090"/>
                <a:gd name="connsiteX2" fmla="*/ 1473828 w 2535787"/>
                <a:gd name="connsiteY2" fmla="*/ 2430278 h 3376090"/>
                <a:gd name="connsiteX3" fmla="*/ 1482262 w 2535787"/>
                <a:gd name="connsiteY3" fmla="*/ 2472053 h 3376090"/>
                <a:gd name="connsiteX4" fmla="*/ 1581153 w 2535787"/>
                <a:gd name="connsiteY4" fmla="*/ 2537602 h 3376090"/>
                <a:gd name="connsiteX5" fmla="*/ 2008482 w 2535787"/>
                <a:gd name="connsiteY5" fmla="*/ 2537603 h 3376090"/>
                <a:gd name="connsiteX6" fmla="*/ 2115807 w 2535787"/>
                <a:gd name="connsiteY6" fmla="*/ 2430278 h 3376090"/>
                <a:gd name="connsiteX7" fmla="*/ 2115808 w 2535787"/>
                <a:gd name="connsiteY7" fmla="*/ 2430278 h 3376090"/>
                <a:gd name="connsiteX8" fmla="*/ 2008483 w 2535787"/>
                <a:gd name="connsiteY8" fmla="*/ 2322953 h 3376090"/>
                <a:gd name="connsiteX9" fmla="*/ 1164301 w 2535787"/>
                <a:gd name="connsiteY9" fmla="*/ 2121918 h 3376090"/>
                <a:gd name="connsiteX10" fmla="*/ 1088411 w 2535787"/>
                <a:gd name="connsiteY10" fmla="*/ 2153353 h 3376090"/>
                <a:gd name="connsiteX11" fmla="*/ 744283 w 2535787"/>
                <a:gd name="connsiteY11" fmla="*/ 2497481 h 3376090"/>
                <a:gd name="connsiteX12" fmla="*/ 611461 w 2535787"/>
                <a:gd name="connsiteY12" fmla="*/ 2364660 h 3376090"/>
                <a:gd name="connsiteX13" fmla="*/ 495185 w 2535787"/>
                <a:gd name="connsiteY13" fmla="*/ 2341084 h 3376090"/>
                <a:gd name="connsiteX14" fmla="*/ 459682 w 2535787"/>
                <a:gd name="connsiteY14" fmla="*/ 2364660 h 3376090"/>
                <a:gd name="connsiteX15" fmla="*/ 459682 w 2535787"/>
                <a:gd name="connsiteY15" fmla="*/ 2364659 h 3376090"/>
                <a:gd name="connsiteX16" fmla="*/ 459681 w 2535787"/>
                <a:gd name="connsiteY16" fmla="*/ 2364660 h 3376090"/>
                <a:gd name="connsiteX17" fmla="*/ 459682 w 2535787"/>
                <a:gd name="connsiteY17" fmla="*/ 2364660 h 3376090"/>
                <a:gd name="connsiteX18" fmla="*/ 436106 w 2535787"/>
                <a:gd name="connsiteY18" fmla="*/ 2400163 h 3376090"/>
                <a:gd name="connsiteX19" fmla="*/ 459682 w 2535787"/>
                <a:gd name="connsiteY19" fmla="*/ 2516439 h 3376090"/>
                <a:gd name="connsiteX20" fmla="*/ 668391 w 2535787"/>
                <a:gd name="connsiteY20" fmla="*/ 2725151 h 3376090"/>
                <a:gd name="connsiteX21" fmla="*/ 820172 w 2535787"/>
                <a:gd name="connsiteY21" fmla="*/ 2725151 h 3376090"/>
                <a:gd name="connsiteX22" fmla="*/ 820173 w 2535787"/>
                <a:gd name="connsiteY22" fmla="*/ 2725151 h 3376090"/>
                <a:gd name="connsiteX23" fmla="*/ 820175 w 2535787"/>
                <a:gd name="connsiteY23" fmla="*/ 2725148 h 3376090"/>
                <a:gd name="connsiteX24" fmla="*/ 1240191 w 2535787"/>
                <a:gd name="connsiteY24" fmla="*/ 2305134 h 3376090"/>
                <a:gd name="connsiteX25" fmla="*/ 1240191 w 2535787"/>
                <a:gd name="connsiteY25" fmla="*/ 2153354 h 3376090"/>
                <a:gd name="connsiteX26" fmla="*/ 1240191 w 2535787"/>
                <a:gd name="connsiteY26" fmla="*/ 2153353 h 3376090"/>
                <a:gd name="connsiteX27" fmla="*/ 1164301 w 2535787"/>
                <a:gd name="connsiteY27" fmla="*/ 2121918 h 3376090"/>
                <a:gd name="connsiteX28" fmla="*/ 1581153 w 2535787"/>
                <a:gd name="connsiteY28" fmla="*/ 1473396 h 3376090"/>
                <a:gd name="connsiteX29" fmla="*/ 1482262 w 2535787"/>
                <a:gd name="connsiteY29" fmla="*/ 1538945 h 3376090"/>
                <a:gd name="connsiteX30" fmla="*/ 1473828 w 2535787"/>
                <a:gd name="connsiteY30" fmla="*/ 1580721 h 3376090"/>
                <a:gd name="connsiteX31" fmla="*/ 1482262 w 2535787"/>
                <a:gd name="connsiteY31" fmla="*/ 1622496 h 3376090"/>
                <a:gd name="connsiteX32" fmla="*/ 1581153 w 2535787"/>
                <a:gd name="connsiteY32" fmla="*/ 1688045 h 3376090"/>
                <a:gd name="connsiteX33" fmla="*/ 2008482 w 2535787"/>
                <a:gd name="connsiteY33" fmla="*/ 1688046 h 3376090"/>
                <a:gd name="connsiteX34" fmla="*/ 2115807 w 2535787"/>
                <a:gd name="connsiteY34" fmla="*/ 1580721 h 3376090"/>
                <a:gd name="connsiteX35" fmla="*/ 2115808 w 2535787"/>
                <a:gd name="connsiteY35" fmla="*/ 1580721 h 3376090"/>
                <a:gd name="connsiteX36" fmla="*/ 2008483 w 2535787"/>
                <a:gd name="connsiteY36" fmla="*/ 1473396 h 3376090"/>
                <a:gd name="connsiteX37" fmla="*/ 1164301 w 2535787"/>
                <a:gd name="connsiteY37" fmla="*/ 1272361 h 3376090"/>
                <a:gd name="connsiteX38" fmla="*/ 1088411 w 2535787"/>
                <a:gd name="connsiteY38" fmla="*/ 1303796 h 3376090"/>
                <a:gd name="connsiteX39" fmla="*/ 744283 w 2535787"/>
                <a:gd name="connsiteY39" fmla="*/ 1647924 h 3376090"/>
                <a:gd name="connsiteX40" fmla="*/ 611461 w 2535787"/>
                <a:gd name="connsiteY40" fmla="*/ 1515103 h 3376090"/>
                <a:gd name="connsiteX41" fmla="*/ 495185 w 2535787"/>
                <a:gd name="connsiteY41" fmla="*/ 1491527 h 3376090"/>
                <a:gd name="connsiteX42" fmla="*/ 459682 w 2535787"/>
                <a:gd name="connsiteY42" fmla="*/ 1515103 h 3376090"/>
                <a:gd name="connsiteX43" fmla="*/ 459682 w 2535787"/>
                <a:gd name="connsiteY43" fmla="*/ 1515102 h 3376090"/>
                <a:gd name="connsiteX44" fmla="*/ 459681 w 2535787"/>
                <a:gd name="connsiteY44" fmla="*/ 1515103 h 3376090"/>
                <a:gd name="connsiteX45" fmla="*/ 459682 w 2535787"/>
                <a:gd name="connsiteY45" fmla="*/ 1515103 h 3376090"/>
                <a:gd name="connsiteX46" fmla="*/ 436106 w 2535787"/>
                <a:gd name="connsiteY46" fmla="*/ 1550606 h 3376090"/>
                <a:gd name="connsiteX47" fmla="*/ 459682 w 2535787"/>
                <a:gd name="connsiteY47" fmla="*/ 1666882 h 3376090"/>
                <a:gd name="connsiteX48" fmla="*/ 668391 w 2535787"/>
                <a:gd name="connsiteY48" fmla="*/ 1875593 h 3376090"/>
                <a:gd name="connsiteX49" fmla="*/ 744282 w 2535787"/>
                <a:gd name="connsiteY49" fmla="*/ 1907028 h 3376090"/>
                <a:gd name="connsiteX50" fmla="*/ 744283 w 2535787"/>
                <a:gd name="connsiteY50" fmla="*/ 1907028 h 3376090"/>
                <a:gd name="connsiteX51" fmla="*/ 784669 w 2535787"/>
                <a:gd name="connsiteY51" fmla="*/ 1899169 h 3376090"/>
                <a:gd name="connsiteX52" fmla="*/ 820173 w 2535787"/>
                <a:gd name="connsiteY52" fmla="*/ 1875594 h 3376090"/>
                <a:gd name="connsiteX53" fmla="*/ 820175 w 2535787"/>
                <a:gd name="connsiteY53" fmla="*/ 1875591 h 3376090"/>
                <a:gd name="connsiteX54" fmla="*/ 1240191 w 2535787"/>
                <a:gd name="connsiteY54" fmla="*/ 1455577 h 3376090"/>
                <a:gd name="connsiteX55" fmla="*/ 1240191 w 2535787"/>
                <a:gd name="connsiteY55" fmla="*/ 1303797 h 3376090"/>
                <a:gd name="connsiteX56" fmla="*/ 1240191 w 2535787"/>
                <a:gd name="connsiteY56" fmla="*/ 1303796 h 3376090"/>
                <a:gd name="connsiteX57" fmla="*/ 1164301 w 2535787"/>
                <a:gd name="connsiteY57" fmla="*/ 1272361 h 3376090"/>
                <a:gd name="connsiteX58" fmla="*/ 224519 w 2535787"/>
                <a:gd name="connsiteY58" fmla="*/ 420258 h 3376090"/>
                <a:gd name="connsiteX59" fmla="*/ 419980 w 2535787"/>
                <a:gd name="connsiteY59" fmla="*/ 420258 h 3376090"/>
                <a:gd name="connsiteX60" fmla="*/ 419980 w 2535787"/>
                <a:gd name="connsiteY60" fmla="*/ 745536 h 3376090"/>
                <a:gd name="connsiteX61" fmla="*/ 727582 w 2535787"/>
                <a:gd name="connsiteY61" fmla="*/ 1053138 h 3376090"/>
                <a:gd name="connsiteX62" fmla="*/ 1808205 w 2535787"/>
                <a:gd name="connsiteY62" fmla="*/ 1053138 h 3376090"/>
                <a:gd name="connsiteX63" fmla="*/ 2115807 w 2535787"/>
                <a:gd name="connsiteY63" fmla="*/ 745536 h 3376090"/>
                <a:gd name="connsiteX64" fmla="*/ 2115807 w 2535787"/>
                <a:gd name="connsiteY64" fmla="*/ 420258 h 3376090"/>
                <a:gd name="connsiteX65" fmla="*/ 2311268 w 2535787"/>
                <a:gd name="connsiteY65" fmla="*/ 420258 h 3376090"/>
                <a:gd name="connsiteX66" fmla="*/ 2535787 w 2535787"/>
                <a:gd name="connsiteY66" fmla="*/ 644777 h 3376090"/>
                <a:gd name="connsiteX67" fmla="*/ 2535787 w 2535787"/>
                <a:gd name="connsiteY67" fmla="*/ 3151571 h 3376090"/>
                <a:gd name="connsiteX68" fmla="*/ 2311268 w 2535787"/>
                <a:gd name="connsiteY68" fmla="*/ 3376090 h 3376090"/>
                <a:gd name="connsiteX69" fmla="*/ 224519 w 2535787"/>
                <a:gd name="connsiteY69" fmla="*/ 3376090 h 3376090"/>
                <a:gd name="connsiteX70" fmla="*/ 0 w 2535787"/>
                <a:gd name="connsiteY70" fmla="*/ 3151571 h 3376090"/>
                <a:gd name="connsiteX71" fmla="*/ 0 w 2535787"/>
                <a:gd name="connsiteY71" fmla="*/ 644777 h 3376090"/>
                <a:gd name="connsiteX72" fmla="*/ 224519 w 2535787"/>
                <a:gd name="connsiteY72" fmla="*/ 420258 h 3376090"/>
                <a:gd name="connsiteX73" fmla="*/ 1267893 w 2535787"/>
                <a:gd name="connsiteY73" fmla="*/ 0 h 3376090"/>
                <a:gd name="connsiteX74" fmla="*/ 1559466 w 2535787"/>
                <a:gd name="connsiteY74" fmla="*/ 193267 h 3376090"/>
                <a:gd name="connsiteX75" fmla="*/ 1566164 w 2535787"/>
                <a:gd name="connsiteY75" fmla="*/ 214845 h 3376090"/>
                <a:gd name="connsiteX76" fmla="*/ 1796853 w 2535787"/>
                <a:gd name="connsiteY76" fmla="*/ 214845 h 3376090"/>
                <a:gd name="connsiteX77" fmla="*/ 1902335 w 2535787"/>
                <a:gd name="connsiteY77" fmla="*/ 320327 h 3376090"/>
                <a:gd name="connsiteX78" fmla="*/ 1902335 w 2535787"/>
                <a:gd name="connsiteY78" fmla="*/ 742243 h 3376090"/>
                <a:gd name="connsiteX79" fmla="*/ 1796853 w 2535787"/>
                <a:gd name="connsiteY79" fmla="*/ 847725 h 3376090"/>
                <a:gd name="connsiteX80" fmla="*/ 738934 w 2535787"/>
                <a:gd name="connsiteY80" fmla="*/ 847725 h 3376090"/>
                <a:gd name="connsiteX81" fmla="*/ 633452 w 2535787"/>
                <a:gd name="connsiteY81" fmla="*/ 742243 h 3376090"/>
                <a:gd name="connsiteX82" fmla="*/ 633452 w 2535787"/>
                <a:gd name="connsiteY82" fmla="*/ 320327 h 3376090"/>
                <a:gd name="connsiteX83" fmla="*/ 738934 w 2535787"/>
                <a:gd name="connsiteY83" fmla="*/ 214845 h 3376090"/>
                <a:gd name="connsiteX84" fmla="*/ 969623 w 2535787"/>
                <a:gd name="connsiteY84" fmla="*/ 214845 h 3376090"/>
                <a:gd name="connsiteX85" fmla="*/ 976321 w 2535787"/>
                <a:gd name="connsiteY85" fmla="*/ 193267 h 3376090"/>
                <a:gd name="connsiteX86" fmla="*/ 1267893 w 2535787"/>
                <a:gd name="connsiteY86" fmla="*/ 0 h 33760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</a:cxnLst>
              <a:rect l="l" t="t" r="r" b="b"/>
              <a:pathLst>
                <a:path w="2535787" h="3376090">
                  <a:moveTo>
                    <a:pt x="1581153" y="2322953"/>
                  </a:moveTo>
                  <a:cubicBezTo>
                    <a:pt x="1536698" y="2322953"/>
                    <a:pt x="1498555" y="2349982"/>
                    <a:pt x="1482262" y="2388502"/>
                  </a:cubicBezTo>
                  <a:lnTo>
                    <a:pt x="1473828" y="2430278"/>
                  </a:lnTo>
                  <a:lnTo>
                    <a:pt x="1482262" y="2472053"/>
                  </a:lnTo>
                  <a:cubicBezTo>
                    <a:pt x="1498555" y="2510574"/>
                    <a:pt x="1536698" y="2537602"/>
                    <a:pt x="1581153" y="2537602"/>
                  </a:cubicBezTo>
                  <a:lnTo>
                    <a:pt x="2008482" y="2537603"/>
                  </a:lnTo>
                  <a:cubicBezTo>
                    <a:pt x="2067756" y="2537603"/>
                    <a:pt x="2115807" y="2489552"/>
                    <a:pt x="2115807" y="2430278"/>
                  </a:cubicBezTo>
                  <a:lnTo>
                    <a:pt x="2115808" y="2430278"/>
                  </a:lnTo>
                  <a:cubicBezTo>
                    <a:pt x="2115808" y="2371004"/>
                    <a:pt x="2067757" y="2322953"/>
                    <a:pt x="2008483" y="2322953"/>
                  </a:cubicBezTo>
                  <a:close/>
                  <a:moveTo>
                    <a:pt x="1164301" y="2121918"/>
                  </a:moveTo>
                  <a:cubicBezTo>
                    <a:pt x="1136834" y="2121918"/>
                    <a:pt x="1109368" y="2132397"/>
                    <a:pt x="1088411" y="2153353"/>
                  </a:cubicBezTo>
                  <a:lnTo>
                    <a:pt x="744283" y="2497481"/>
                  </a:lnTo>
                  <a:lnTo>
                    <a:pt x="611461" y="2364660"/>
                  </a:lnTo>
                  <a:cubicBezTo>
                    <a:pt x="580026" y="2333225"/>
                    <a:pt x="533944" y="2325367"/>
                    <a:pt x="495185" y="2341084"/>
                  </a:cubicBezTo>
                  <a:lnTo>
                    <a:pt x="459682" y="2364660"/>
                  </a:lnTo>
                  <a:lnTo>
                    <a:pt x="459682" y="2364659"/>
                  </a:lnTo>
                  <a:lnTo>
                    <a:pt x="459681" y="2364660"/>
                  </a:lnTo>
                  <a:lnTo>
                    <a:pt x="459682" y="2364660"/>
                  </a:lnTo>
                  <a:lnTo>
                    <a:pt x="436106" y="2400163"/>
                  </a:lnTo>
                  <a:cubicBezTo>
                    <a:pt x="420389" y="2438922"/>
                    <a:pt x="428247" y="2485004"/>
                    <a:pt x="459682" y="2516439"/>
                  </a:cubicBezTo>
                  <a:lnTo>
                    <a:pt x="668391" y="2725151"/>
                  </a:lnTo>
                  <a:cubicBezTo>
                    <a:pt x="710304" y="2767064"/>
                    <a:pt x="778259" y="2767064"/>
                    <a:pt x="820172" y="2725151"/>
                  </a:cubicBezTo>
                  <a:lnTo>
                    <a:pt x="820173" y="2725151"/>
                  </a:lnTo>
                  <a:lnTo>
                    <a:pt x="820175" y="2725148"/>
                  </a:lnTo>
                  <a:lnTo>
                    <a:pt x="1240191" y="2305134"/>
                  </a:lnTo>
                  <a:cubicBezTo>
                    <a:pt x="1282104" y="2263221"/>
                    <a:pt x="1282104" y="2195267"/>
                    <a:pt x="1240191" y="2153354"/>
                  </a:cubicBezTo>
                  <a:lnTo>
                    <a:pt x="1240191" y="2153353"/>
                  </a:lnTo>
                  <a:cubicBezTo>
                    <a:pt x="1219235" y="2132397"/>
                    <a:pt x="1191768" y="2121918"/>
                    <a:pt x="1164301" y="2121918"/>
                  </a:cubicBezTo>
                  <a:close/>
                  <a:moveTo>
                    <a:pt x="1581153" y="1473396"/>
                  </a:moveTo>
                  <a:cubicBezTo>
                    <a:pt x="1536698" y="1473396"/>
                    <a:pt x="1498555" y="1500425"/>
                    <a:pt x="1482262" y="1538945"/>
                  </a:cubicBezTo>
                  <a:lnTo>
                    <a:pt x="1473828" y="1580721"/>
                  </a:lnTo>
                  <a:lnTo>
                    <a:pt x="1482262" y="1622496"/>
                  </a:lnTo>
                  <a:cubicBezTo>
                    <a:pt x="1498555" y="1661016"/>
                    <a:pt x="1536698" y="1688045"/>
                    <a:pt x="1581153" y="1688045"/>
                  </a:cubicBezTo>
                  <a:lnTo>
                    <a:pt x="2008482" y="1688046"/>
                  </a:lnTo>
                  <a:cubicBezTo>
                    <a:pt x="2067756" y="1688046"/>
                    <a:pt x="2115807" y="1639995"/>
                    <a:pt x="2115807" y="1580721"/>
                  </a:cubicBezTo>
                  <a:lnTo>
                    <a:pt x="2115808" y="1580721"/>
                  </a:lnTo>
                  <a:cubicBezTo>
                    <a:pt x="2115808" y="1521447"/>
                    <a:pt x="2067757" y="1473396"/>
                    <a:pt x="2008483" y="1473396"/>
                  </a:cubicBezTo>
                  <a:close/>
                  <a:moveTo>
                    <a:pt x="1164301" y="1272361"/>
                  </a:moveTo>
                  <a:cubicBezTo>
                    <a:pt x="1136834" y="1272361"/>
                    <a:pt x="1109368" y="1282840"/>
                    <a:pt x="1088411" y="1303796"/>
                  </a:cubicBezTo>
                  <a:lnTo>
                    <a:pt x="744283" y="1647924"/>
                  </a:lnTo>
                  <a:lnTo>
                    <a:pt x="611461" y="1515103"/>
                  </a:lnTo>
                  <a:cubicBezTo>
                    <a:pt x="580026" y="1483668"/>
                    <a:pt x="533944" y="1475810"/>
                    <a:pt x="495185" y="1491527"/>
                  </a:cubicBezTo>
                  <a:lnTo>
                    <a:pt x="459682" y="1515103"/>
                  </a:lnTo>
                  <a:lnTo>
                    <a:pt x="459682" y="1515102"/>
                  </a:lnTo>
                  <a:lnTo>
                    <a:pt x="459681" y="1515103"/>
                  </a:lnTo>
                  <a:lnTo>
                    <a:pt x="459682" y="1515103"/>
                  </a:lnTo>
                  <a:lnTo>
                    <a:pt x="436106" y="1550606"/>
                  </a:lnTo>
                  <a:cubicBezTo>
                    <a:pt x="420389" y="1589365"/>
                    <a:pt x="428247" y="1635447"/>
                    <a:pt x="459682" y="1666882"/>
                  </a:cubicBezTo>
                  <a:lnTo>
                    <a:pt x="668391" y="1875593"/>
                  </a:lnTo>
                  <a:cubicBezTo>
                    <a:pt x="689348" y="1896550"/>
                    <a:pt x="716815" y="1907028"/>
                    <a:pt x="744282" y="1907028"/>
                  </a:cubicBezTo>
                  <a:lnTo>
                    <a:pt x="744283" y="1907028"/>
                  </a:lnTo>
                  <a:cubicBezTo>
                    <a:pt x="758017" y="1907028"/>
                    <a:pt x="771750" y="1904408"/>
                    <a:pt x="784669" y="1899169"/>
                  </a:cubicBezTo>
                  <a:lnTo>
                    <a:pt x="820173" y="1875594"/>
                  </a:lnTo>
                  <a:lnTo>
                    <a:pt x="820175" y="1875591"/>
                  </a:lnTo>
                  <a:lnTo>
                    <a:pt x="1240191" y="1455577"/>
                  </a:lnTo>
                  <a:cubicBezTo>
                    <a:pt x="1282104" y="1413664"/>
                    <a:pt x="1282104" y="1345710"/>
                    <a:pt x="1240191" y="1303797"/>
                  </a:cubicBezTo>
                  <a:lnTo>
                    <a:pt x="1240191" y="1303796"/>
                  </a:lnTo>
                  <a:cubicBezTo>
                    <a:pt x="1219235" y="1282840"/>
                    <a:pt x="1191768" y="1272361"/>
                    <a:pt x="1164301" y="1272361"/>
                  </a:cubicBezTo>
                  <a:close/>
                  <a:moveTo>
                    <a:pt x="224519" y="420258"/>
                  </a:moveTo>
                  <a:lnTo>
                    <a:pt x="419980" y="420258"/>
                  </a:lnTo>
                  <a:lnTo>
                    <a:pt x="419980" y="745536"/>
                  </a:lnTo>
                  <a:cubicBezTo>
                    <a:pt x="419980" y="915420"/>
                    <a:pt x="557698" y="1053138"/>
                    <a:pt x="727582" y="1053138"/>
                  </a:cubicBezTo>
                  <a:lnTo>
                    <a:pt x="1808205" y="1053138"/>
                  </a:lnTo>
                  <a:cubicBezTo>
                    <a:pt x="1978089" y="1053138"/>
                    <a:pt x="2115807" y="915420"/>
                    <a:pt x="2115807" y="745536"/>
                  </a:cubicBezTo>
                  <a:lnTo>
                    <a:pt x="2115807" y="420258"/>
                  </a:lnTo>
                  <a:lnTo>
                    <a:pt x="2311268" y="420258"/>
                  </a:lnTo>
                  <a:cubicBezTo>
                    <a:pt x="2435266" y="420258"/>
                    <a:pt x="2535787" y="520779"/>
                    <a:pt x="2535787" y="644777"/>
                  </a:cubicBezTo>
                  <a:lnTo>
                    <a:pt x="2535787" y="3151571"/>
                  </a:lnTo>
                  <a:cubicBezTo>
                    <a:pt x="2535787" y="3275569"/>
                    <a:pt x="2435266" y="3376090"/>
                    <a:pt x="2311268" y="3376090"/>
                  </a:cubicBezTo>
                  <a:lnTo>
                    <a:pt x="224519" y="3376090"/>
                  </a:lnTo>
                  <a:cubicBezTo>
                    <a:pt x="100521" y="3376090"/>
                    <a:pt x="0" y="3275569"/>
                    <a:pt x="0" y="3151571"/>
                  </a:cubicBezTo>
                  <a:lnTo>
                    <a:pt x="0" y="644777"/>
                  </a:lnTo>
                  <a:cubicBezTo>
                    <a:pt x="0" y="520779"/>
                    <a:pt x="100521" y="420258"/>
                    <a:pt x="224519" y="420258"/>
                  </a:cubicBezTo>
                  <a:close/>
                  <a:moveTo>
                    <a:pt x="1267893" y="0"/>
                  </a:moveTo>
                  <a:cubicBezTo>
                    <a:pt x="1398967" y="0"/>
                    <a:pt x="1511428" y="79692"/>
                    <a:pt x="1559466" y="193267"/>
                  </a:cubicBezTo>
                  <a:lnTo>
                    <a:pt x="1566164" y="214845"/>
                  </a:lnTo>
                  <a:lnTo>
                    <a:pt x="1796853" y="214845"/>
                  </a:lnTo>
                  <a:cubicBezTo>
                    <a:pt x="1855109" y="214845"/>
                    <a:pt x="1902335" y="262071"/>
                    <a:pt x="1902335" y="320327"/>
                  </a:cubicBezTo>
                  <a:lnTo>
                    <a:pt x="1902335" y="742243"/>
                  </a:lnTo>
                  <a:cubicBezTo>
                    <a:pt x="1902335" y="800499"/>
                    <a:pt x="1855109" y="847725"/>
                    <a:pt x="1796853" y="847725"/>
                  </a:cubicBezTo>
                  <a:lnTo>
                    <a:pt x="738934" y="847725"/>
                  </a:lnTo>
                  <a:cubicBezTo>
                    <a:pt x="680678" y="847725"/>
                    <a:pt x="633452" y="800499"/>
                    <a:pt x="633452" y="742243"/>
                  </a:cubicBezTo>
                  <a:lnTo>
                    <a:pt x="633452" y="320327"/>
                  </a:lnTo>
                  <a:cubicBezTo>
                    <a:pt x="633452" y="262071"/>
                    <a:pt x="680678" y="214845"/>
                    <a:pt x="738934" y="214845"/>
                  </a:cubicBezTo>
                  <a:lnTo>
                    <a:pt x="969623" y="214845"/>
                  </a:lnTo>
                  <a:lnTo>
                    <a:pt x="976321" y="193267"/>
                  </a:lnTo>
                  <a:cubicBezTo>
                    <a:pt x="1024359" y="79692"/>
                    <a:pt x="1136820" y="0"/>
                    <a:pt x="1267893" y="0"/>
                  </a:cubicBezTo>
                  <a:close/>
                </a:path>
              </a:pathLst>
            </a:custGeom>
            <a:noFill/>
            <a:ln w="9525" cap="rnd">
              <a:solidFill>
                <a:schemeClr val="bg1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0" name="Agrupar 109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00000000-0008-0000-0500-00006E000000}"/>
              </a:ext>
            </a:extLst>
          </xdr:cNvPr>
          <xdr:cNvGrpSpPr/>
        </xdr:nvGrpSpPr>
        <xdr:grpSpPr>
          <a:xfrm>
            <a:off x="11195664" y="123825"/>
            <a:ext cx="999327" cy="243701"/>
            <a:chOff x="9765034" y="104252"/>
            <a:chExt cx="999581" cy="243701"/>
          </a:xfrm>
        </xdr:grpSpPr>
        <xdr:sp macro="" textlink="">
          <xdr:nvSpPr>
            <xdr:cNvPr id="118" name="Retângulo: Cantos Arredondados 117">
              <a:hlinkClick xmlns:r="http://schemas.openxmlformats.org/officeDocument/2006/relationships" r:id="rId14"/>
              <a:extLst>
                <a:ext uri="{FF2B5EF4-FFF2-40B4-BE49-F238E27FC236}">
                  <a16:creationId xmlns:a16="http://schemas.microsoft.com/office/drawing/2014/main" id="{00000000-0008-0000-0500-000076000000}"/>
                </a:ext>
              </a:extLst>
            </xdr:cNvPr>
            <xdr:cNvSpPr/>
          </xdr:nvSpPr>
          <xdr:spPr>
            <a:xfrm>
              <a:off x="9765034" y="104252"/>
              <a:ext cx="99958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Ligações</a:t>
              </a:r>
            </a:p>
          </xdr:txBody>
        </xdr:sp>
        <xdr:sp macro="" textlink="">
          <xdr:nvSpPr>
            <xdr:cNvPr id="119" name="Forma Livre: Forma 118">
              <a:extLst>
                <a:ext uri="{FF2B5EF4-FFF2-40B4-BE49-F238E27FC236}">
                  <a16:creationId xmlns:a16="http://schemas.microsoft.com/office/drawing/2014/main" id="{00000000-0008-0000-0500-000077000000}"/>
                </a:ext>
              </a:extLst>
            </xdr:cNvPr>
            <xdr:cNvSpPr>
              <a:spLocks noChangeAspect="1"/>
            </xdr:cNvSpPr>
          </xdr:nvSpPr>
          <xdr:spPr>
            <a:xfrm>
              <a:off x="9810751" y="133349"/>
              <a:ext cx="180000" cy="180000"/>
            </a:xfrm>
            <a:custGeom>
              <a:avLst/>
              <a:gdLst>
                <a:gd name="connsiteX0" fmla="*/ 2123136 w 4250872"/>
                <a:gd name="connsiteY0" fmla="*/ 2070418 h 4250872"/>
                <a:gd name="connsiteX1" fmla="*/ 2154685 w 4250872"/>
                <a:gd name="connsiteY1" fmla="*/ 2096189 h 4250872"/>
                <a:gd name="connsiteX2" fmla="*/ 2170560 w 4250872"/>
                <a:gd name="connsiteY2" fmla="*/ 2115622 h 4250872"/>
                <a:gd name="connsiteX3" fmla="*/ 2139010 w 4250872"/>
                <a:gd name="connsiteY3" fmla="*/ 2089852 h 4250872"/>
                <a:gd name="connsiteX4" fmla="*/ 1601747 w 4250872"/>
                <a:gd name="connsiteY4" fmla="*/ 1799924 h 4250872"/>
                <a:gd name="connsiteX5" fmla="*/ 1590811 w 4250872"/>
                <a:gd name="connsiteY5" fmla="*/ 1836827 h 4250872"/>
                <a:gd name="connsiteX6" fmla="*/ 1590811 w 4250872"/>
                <a:gd name="connsiteY6" fmla="*/ 2104985 h 4250872"/>
                <a:gd name="connsiteX7" fmla="*/ 1624149 w 4250872"/>
                <a:gd name="connsiteY7" fmla="*/ 2217478 h 4250872"/>
                <a:gd name="connsiteX8" fmla="*/ 1202591 w 4250872"/>
                <a:gd name="connsiteY8" fmla="*/ 2639037 h 4250872"/>
                <a:gd name="connsiteX9" fmla="*/ 1202591 w 4250872"/>
                <a:gd name="connsiteY9" fmla="*/ 3048283 h 4250872"/>
                <a:gd name="connsiteX10" fmla="*/ 1611837 w 4250872"/>
                <a:gd name="connsiteY10" fmla="*/ 3048283 h 4250872"/>
                <a:gd name="connsiteX11" fmla="*/ 2033396 w 4250872"/>
                <a:gd name="connsiteY11" fmla="*/ 2626725 h 4250872"/>
                <a:gd name="connsiteX12" fmla="*/ 2102651 w 4250872"/>
                <a:gd name="connsiteY12" fmla="*/ 2557470 h 4250872"/>
                <a:gd name="connsiteX13" fmla="*/ 2158846 w 4250872"/>
                <a:gd name="connsiteY13" fmla="*/ 2574124 h 4250872"/>
                <a:gd name="connsiteX14" fmla="*/ 2504731 w 4250872"/>
                <a:gd name="connsiteY14" fmla="*/ 2540640 h 4250872"/>
                <a:gd name="connsiteX15" fmla="*/ 2519089 w 4250872"/>
                <a:gd name="connsiteY15" fmla="*/ 2533084 h 4250872"/>
                <a:gd name="connsiteX16" fmla="*/ 2470838 w 4250872"/>
                <a:gd name="connsiteY16" fmla="*/ 2624776 h 4250872"/>
                <a:gd name="connsiteX17" fmla="*/ 2450947 w 4250872"/>
                <a:gd name="connsiteY17" fmla="*/ 2649129 h 4250872"/>
                <a:gd name="connsiteX18" fmla="*/ 2392710 w 4250872"/>
                <a:gd name="connsiteY18" fmla="*/ 2720423 h 4250872"/>
                <a:gd name="connsiteX19" fmla="*/ 1826826 w 4250872"/>
                <a:gd name="connsiteY19" fmla="*/ 3286306 h 4250872"/>
                <a:gd name="connsiteX20" fmla="*/ 1060213 w 4250872"/>
                <a:gd name="connsiteY20" fmla="*/ 3364435 h 4250872"/>
                <a:gd name="connsiteX21" fmla="*/ 964566 w 4250872"/>
                <a:gd name="connsiteY21" fmla="*/ 3286306 h 4250872"/>
                <a:gd name="connsiteX22" fmla="*/ 886438 w 4250872"/>
                <a:gd name="connsiteY22" fmla="*/ 3190660 h 4250872"/>
                <a:gd name="connsiteX23" fmla="*/ 964567 w 4250872"/>
                <a:gd name="connsiteY23" fmla="*/ 2424047 h 4250872"/>
                <a:gd name="connsiteX24" fmla="*/ 1530449 w 4250872"/>
                <a:gd name="connsiteY24" fmla="*/ 1858164 h 4250872"/>
                <a:gd name="connsiteX25" fmla="*/ 2199462 w 4250872"/>
                <a:gd name="connsiteY25" fmla="*/ 1728672 h 4250872"/>
                <a:gd name="connsiteX26" fmla="*/ 2297062 w 4250872"/>
                <a:gd name="connsiteY26" fmla="*/ 1780034 h 4250872"/>
                <a:gd name="connsiteX27" fmla="*/ 2392709 w 4250872"/>
                <a:gd name="connsiteY27" fmla="*/ 1858163 h 4250872"/>
                <a:gd name="connsiteX28" fmla="*/ 2392710 w 4250872"/>
                <a:gd name="connsiteY28" fmla="*/ 1858162 h 4250872"/>
                <a:gd name="connsiteX29" fmla="*/ 2470839 w 4250872"/>
                <a:gd name="connsiteY29" fmla="*/ 1953809 h 4250872"/>
                <a:gd name="connsiteX30" fmla="*/ 2507023 w 4250872"/>
                <a:gd name="connsiteY30" fmla="*/ 2022568 h 4250872"/>
                <a:gd name="connsiteX31" fmla="*/ 2526645 w 4250872"/>
                <a:gd name="connsiteY31" fmla="*/ 2059857 h 4250872"/>
                <a:gd name="connsiteX32" fmla="*/ 2543475 w 4250872"/>
                <a:gd name="connsiteY32" fmla="*/ 2116644 h 4250872"/>
                <a:gd name="connsiteX33" fmla="*/ 2560128 w 4250872"/>
                <a:gd name="connsiteY33" fmla="*/ 2172840 h 4250872"/>
                <a:gd name="connsiteX34" fmla="*/ 2526644 w 4250872"/>
                <a:gd name="connsiteY34" fmla="*/ 2518725 h 4250872"/>
                <a:gd name="connsiteX35" fmla="*/ 2519089 w 4250872"/>
                <a:gd name="connsiteY35" fmla="*/ 2533083 h 4250872"/>
                <a:gd name="connsiteX36" fmla="*/ 2504731 w 4250872"/>
                <a:gd name="connsiteY36" fmla="*/ 2540638 h 4250872"/>
                <a:gd name="connsiteX37" fmla="*/ 2158846 w 4250872"/>
                <a:gd name="connsiteY37" fmla="*/ 2574122 h 4250872"/>
                <a:gd name="connsiteX38" fmla="*/ 2102651 w 4250872"/>
                <a:gd name="connsiteY38" fmla="*/ 2557468 h 4250872"/>
                <a:gd name="connsiteX39" fmla="*/ 2154685 w 4250872"/>
                <a:gd name="connsiteY39" fmla="*/ 2505434 h 4250872"/>
                <a:gd name="connsiteX40" fmla="*/ 2234146 w 4250872"/>
                <a:gd name="connsiteY40" fmla="*/ 2245541 h 4250872"/>
                <a:gd name="connsiteX41" fmla="*/ 2232196 w 4250872"/>
                <a:gd name="connsiteY41" fmla="*/ 2238963 h 4250872"/>
                <a:gd name="connsiteX42" fmla="*/ 2218254 w 4250872"/>
                <a:gd name="connsiteY42" fmla="*/ 2191917 h 4250872"/>
                <a:gd name="connsiteX43" fmla="*/ 2191767 w 4250872"/>
                <a:gd name="connsiteY43" fmla="*/ 2141583 h 4250872"/>
                <a:gd name="connsiteX44" fmla="*/ 2170560 w 4250872"/>
                <a:gd name="connsiteY44" fmla="*/ 2115620 h 4250872"/>
                <a:gd name="connsiteX45" fmla="*/ 2170561 w 4250872"/>
                <a:gd name="connsiteY45" fmla="*/ 2115621 h 4250872"/>
                <a:gd name="connsiteX46" fmla="*/ 2154686 w 4250872"/>
                <a:gd name="connsiteY46" fmla="*/ 2096188 h 4250872"/>
                <a:gd name="connsiteX47" fmla="*/ 2123136 w 4250872"/>
                <a:gd name="connsiteY47" fmla="*/ 2070417 h 4250872"/>
                <a:gd name="connsiteX48" fmla="*/ 2111763 w 4250872"/>
                <a:gd name="connsiteY48" fmla="*/ 2056493 h 4250872"/>
                <a:gd name="connsiteX49" fmla="*/ 2139011 w 4250872"/>
                <a:gd name="connsiteY49" fmla="*/ 1789123 h 4250872"/>
                <a:gd name="connsiteX50" fmla="*/ 1990827 w 4250872"/>
                <a:gd name="connsiteY50" fmla="*/ 1680281 h 4250872"/>
                <a:gd name="connsiteX51" fmla="*/ 2078030 w 4250872"/>
                <a:gd name="connsiteY51" fmla="*/ 1690745 h 4250872"/>
                <a:gd name="connsiteX52" fmla="*/ 2134228 w 4250872"/>
                <a:gd name="connsiteY52" fmla="*/ 1707399 h 4250872"/>
                <a:gd name="connsiteX53" fmla="*/ 2089421 w 4250872"/>
                <a:gd name="connsiteY53" fmla="*/ 1752206 h 4250872"/>
                <a:gd name="connsiteX54" fmla="*/ 2009960 w 4250872"/>
                <a:gd name="connsiteY54" fmla="*/ 2012100 h 4250872"/>
                <a:gd name="connsiteX55" fmla="*/ 2011910 w 4250872"/>
                <a:gd name="connsiteY55" fmla="*/ 2018676 h 4250872"/>
                <a:gd name="connsiteX56" fmla="*/ 2011910 w 4250872"/>
                <a:gd name="connsiteY56" fmla="*/ 2018677 h 4250872"/>
                <a:gd name="connsiteX57" fmla="*/ 2025853 w 4250872"/>
                <a:gd name="connsiteY57" fmla="*/ 2065723 h 4250872"/>
                <a:gd name="connsiteX58" fmla="*/ 2052340 w 4250872"/>
                <a:gd name="connsiteY58" fmla="*/ 2116056 h 4250872"/>
                <a:gd name="connsiteX59" fmla="*/ 2089419 w 4250872"/>
                <a:gd name="connsiteY59" fmla="*/ 2161450 h 4250872"/>
                <a:gd name="connsiteX60" fmla="*/ 2089422 w 4250872"/>
                <a:gd name="connsiteY60" fmla="*/ 2161452 h 4250872"/>
                <a:gd name="connsiteX61" fmla="*/ 2089424 w 4250872"/>
                <a:gd name="connsiteY61" fmla="*/ 2161455 h 4250872"/>
                <a:gd name="connsiteX62" fmla="*/ 2132715 w 4250872"/>
                <a:gd name="connsiteY62" fmla="*/ 2226648 h 4250872"/>
                <a:gd name="connsiteX63" fmla="*/ 2089423 w 4250872"/>
                <a:gd name="connsiteY63" fmla="*/ 2440168 h 4250872"/>
                <a:gd name="connsiteX64" fmla="*/ 2008575 w 4250872"/>
                <a:gd name="connsiteY64" fmla="*/ 2521016 h 4250872"/>
                <a:gd name="connsiteX65" fmla="*/ 1939815 w 4250872"/>
                <a:gd name="connsiteY65" fmla="*/ 2484833 h 4250872"/>
                <a:gd name="connsiteX66" fmla="*/ 1844168 w 4250872"/>
                <a:gd name="connsiteY66" fmla="*/ 2406704 h 4250872"/>
                <a:gd name="connsiteX67" fmla="*/ 1766040 w 4250872"/>
                <a:gd name="connsiteY67" fmla="*/ 2311058 h 4250872"/>
                <a:gd name="connsiteX68" fmla="*/ 1729857 w 4250872"/>
                <a:gd name="connsiteY68" fmla="*/ 2242300 h 4250872"/>
                <a:gd name="connsiteX69" fmla="*/ 1710234 w 4250872"/>
                <a:gd name="connsiteY69" fmla="*/ 2205009 h 4250872"/>
                <a:gd name="connsiteX70" fmla="*/ 1693404 w 4250872"/>
                <a:gd name="connsiteY70" fmla="*/ 2148223 h 4250872"/>
                <a:gd name="connsiteX71" fmla="*/ 1693403 w 4250872"/>
                <a:gd name="connsiteY71" fmla="*/ 2148224 h 4250872"/>
                <a:gd name="connsiteX72" fmla="*/ 1676749 w 4250872"/>
                <a:gd name="connsiteY72" fmla="*/ 2092027 h 4250872"/>
                <a:gd name="connsiteX73" fmla="*/ 1710233 w 4250872"/>
                <a:gd name="connsiteY73" fmla="*/ 1746141 h 4250872"/>
                <a:gd name="connsiteX74" fmla="*/ 1717788 w 4250872"/>
                <a:gd name="connsiteY74" fmla="*/ 1731782 h 4250872"/>
                <a:gd name="connsiteX75" fmla="*/ 1732144 w 4250872"/>
                <a:gd name="connsiteY75" fmla="*/ 1724228 h 4250872"/>
                <a:gd name="connsiteX76" fmla="*/ 1990827 w 4250872"/>
                <a:gd name="connsiteY76" fmla="*/ 1680281 h 4250872"/>
                <a:gd name="connsiteX77" fmla="*/ 2855175 w 4250872"/>
                <a:gd name="connsiteY77" fmla="*/ 785987 h 4250872"/>
                <a:gd name="connsiteX78" fmla="*/ 3286305 w 4250872"/>
                <a:gd name="connsiteY78" fmla="*/ 964567 h 4250872"/>
                <a:gd name="connsiteX79" fmla="*/ 3286306 w 4250872"/>
                <a:gd name="connsiteY79" fmla="*/ 964566 h 4250872"/>
                <a:gd name="connsiteX80" fmla="*/ 3286306 w 4250872"/>
                <a:gd name="connsiteY80" fmla="*/ 1826826 h 4250872"/>
                <a:gd name="connsiteX81" fmla="*/ 2706427 w 4250872"/>
                <a:gd name="connsiteY81" fmla="*/ 2406705 h 4250872"/>
                <a:gd name="connsiteX82" fmla="*/ 2632339 w 4250872"/>
                <a:gd name="connsiteY82" fmla="*/ 2467223 h 4250872"/>
                <a:gd name="connsiteX83" fmla="*/ 2643060 w 4250872"/>
                <a:gd name="connsiteY83" fmla="*/ 2431050 h 4250872"/>
                <a:gd name="connsiteX84" fmla="*/ 2643060 w 4250872"/>
                <a:gd name="connsiteY84" fmla="*/ 2162892 h 4250872"/>
                <a:gd name="connsiteX85" fmla="*/ 2609722 w 4250872"/>
                <a:gd name="connsiteY85" fmla="*/ 2050399 h 4250872"/>
                <a:gd name="connsiteX86" fmla="*/ 3046620 w 4250872"/>
                <a:gd name="connsiteY86" fmla="*/ 1613500 h 4250872"/>
                <a:gd name="connsiteX87" fmla="*/ 3046620 w 4250872"/>
                <a:gd name="connsiteY87" fmla="*/ 1204254 h 4250872"/>
                <a:gd name="connsiteX88" fmla="*/ 2637374 w 4250872"/>
                <a:gd name="connsiteY88" fmla="*/ 1204254 h 4250872"/>
                <a:gd name="connsiteX89" fmla="*/ 2200475 w 4250872"/>
                <a:gd name="connsiteY89" fmla="*/ 1641152 h 4250872"/>
                <a:gd name="connsiteX90" fmla="*/ 2200474 w 4250872"/>
                <a:gd name="connsiteY90" fmla="*/ 1641151 h 4250872"/>
                <a:gd name="connsiteX91" fmla="*/ 2134228 w 4250872"/>
                <a:gd name="connsiteY91" fmla="*/ 1707398 h 4250872"/>
                <a:gd name="connsiteX92" fmla="*/ 2078029 w 4250872"/>
                <a:gd name="connsiteY92" fmla="*/ 1690744 h 4250872"/>
                <a:gd name="connsiteX93" fmla="*/ 1732143 w 4250872"/>
                <a:gd name="connsiteY93" fmla="*/ 1724227 h 4250872"/>
                <a:gd name="connsiteX94" fmla="*/ 1717787 w 4250872"/>
                <a:gd name="connsiteY94" fmla="*/ 1731781 h 4250872"/>
                <a:gd name="connsiteX95" fmla="*/ 1766039 w 4250872"/>
                <a:gd name="connsiteY95" fmla="*/ 1640092 h 4250872"/>
                <a:gd name="connsiteX96" fmla="*/ 1783649 w 4250872"/>
                <a:gd name="connsiteY96" fmla="*/ 1618534 h 4250872"/>
                <a:gd name="connsiteX97" fmla="*/ 1783651 w 4250872"/>
                <a:gd name="connsiteY97" fmla="*/ 1618533 h 4250872"/>
                <a:gd name="connsiteX98" fmla="*/ 1844168 w 4250872"/>
                <a:gd name="connsiteY98" fmla="*/ 1544446 h 4250872"/>
                <a:gd name="connsiteX99" fmla="*/ 2424045 w 4250872"/>
                <a:gd name="connsiteY99" fmla="*/ 964567 h 4250872"/>
                <a:gd name="connsiteX100" fmla="*/ 2855175 w 4250872"/>
                <a:gd name="connsiteY100" fmla="*/ 785987 h 4250872"/>
                <a:gd name="connsiteX101" fmla="*/ 2125435 w 4250872"/>
                <a:gd name="connsiteY101" fmla="*/ 266463 h 4250872"/>
                <a:gd name="connsiteX102" fmla="*/ 266463 w 4250872"/>
                <a:gd name="connsiteY102" fmla="*/ 2125435 h 4250872"/>
                <a:gd name="connsiteX103" fmla="*/ 2125435 w 4250872"/>
                <a:gd name="connsiteY103" fmla="*/ 3984407 h 4250872"/>
                <a:gd name="connsiteX104" fmla="*/ 3984407 w 4250872"/>
                <a:gd name="connsiteY104" fmla="*/ 2125435 h 4250872"/>
                <a:gd name="connsiteX105" fmla="*/ 2125435 w 4250872"/>
                <a:gd name="connsiteY105" fmla="*/ 266463 h 4250872"/>
                <a:gd name="connsiteX106" fmla="*/ 2125436 w 4250872"/>
                <a:gd name="connsiteY106" fmla="*/ 0 h 4250872"/>
                <a:gd name="connsiteX107" fmla="*/ 4250872 w 4250872"/>
                <a:gd name="connsiteY107" fmla="*/ 2125436 h 4250872"/>
                <a:gd name="connsiteX108" fmla="*/ 2125436 w 4250872"/>
                <a:gd name="connsiteY108" fmla="*/ 4250872 h 4250872"/>
                <a:gd name="connsiteX109" fmla="*/ 0 w 4250872"/>
                <a:gd name="connsiteY109" fmla="*/ 2125436 h 4250872"/>
                <a:gd name="connsiteX110" fmla="*/ 2125436 w 4250872"/>
                <a:gd name="connsiteY110" fmla="*/ 0 h 42508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</a:cxnLst>
              <a:rect l="l" t="t" r="r" b="b"/>
              <a:pathLst>
                <a:path w="4250872" h="4250872">
                  <a:moveTo>
                    <a:pt x="2123136" y="2070418"/>
                  </a:moveTo>
                  <a:lnTo>
                    <a:pt x="2154685" y="2096189"/>
                  </a:lnTo>
                  <a:lnTo>
                    <a:pt x="2170560" y="2115622"/>
                  </a:lnTo>
                  <a:lnTo>
                    <a:pt x="2139010" y="2089852"/>
                  </a:lnTo>
                  <a:close/>
                  <a:moveTo>
                    <a:pt x="1601747" y="1799924"/>
                  </a:moveTo>
                  <a:lnTo>
                    <a:pt x="1590811" y="1836827"/>
                  </a:lnTo>
                  <a:cubicBezTo>
                    <a:pt x="1573677" y="1925326"/>
                    <a:pt x="1573677" y="2016487"/>
                    <a:pt x="1590811" y="2104985"/>
                  </a:cubicBezTo>
                  <a:lnTo>
                    <a:pt x="1624149" y="2217478"/>
                  </a:lnTo>
                  <a:lnTo>
                    <a:pt x="1202591" y="2639037"/>
                  </a:lnTo>
                  <a:cubicBezTo>
                    <a:pt x="1089580" y="2752047"/>
                    <a:pt x="1089580" y="2935273"/>
                    <a:pt x="1202591" y="3048283"/>
                  </a:cubicBezTo>
                  <a:cubicBezTo>
                    <a:pt x="1315601" y="3161294"/>
                    <a:pt x="1498827" y="3161294"/>
                    <a:pt x="1611837" y="3048283"/>
                  </a:cubicBezTo>
                  <a:lnTo>
                    <a:pt x="2033396" y="2626725"/>
                  </a:lnTo>
                  <a:lnTo>
                    <a:pt x="2102651" y="2557470"/>
                  </a:lnTo>
                  <a:lnTo>
                    <a:pt x="2158846" y="2574124"/>
                  </a:lnTo>
                  <a:cubicBezTo>
                    <a:pt x="2274142" y="2596446"/>
                    <a:pt x="2394638" y="2585286"/>
                    <a:pt x="2504731" y="2540640"/>
                  </a:cubicBezTo>
                  <a:lnTo>
                    <a:pt x="2519089" y="2533084"/>
                  </a:lnTo>
                  <a:lnTo>
                    <a:pt x="2470838" y="2624776"/>
                  </a:lnTo>
                  <a:lnTo>
                    <a:pt x="2450947" y="2649129"/>
                  </a:lnTo>
                  <a:lnTo>
                    <a:pt x="2392710" y="2720423"/>
                  </a:lnTo>
                  <a:lnTo>
                    <a:pt x="1826826" y="3286306"/>
                  </a:lnTo>
                  <a:cubicBezTo>
                    <a:pt x="1618483" y="3494650"/>
                    <a:pt x="1296872" y="3520693"/>
                    <a:pt x="1060213" y="3364435"/>
                  </a:cubicBezTo>
                  <a:lnTo>
                    <a:pt x="964566" y="3286306"/>
                  </a:lnTo>
                  <a:lnTo>
                    <a:pt x="886438" y="3190660"/>
                  </a:lnTo>
                  <a:cubicBezTo>
                    <a:pt x="730181" y="2954001"/>
                    <a:pt x="756224" y="2632390"/>
                    <a:pt x="964567" y="2424047"/>
                  </a:cubicBezTo>
                  <a:lnTo>
                    <a:pt x="1530449" y="1858164"/>
                  </a:lnTo>
                  <a:close/>
                  <a:moveTo>
                    <a:pt x="2199462" y="1728672"/>
                  </a:moveTo>
                  <a:lnTo>
                    <a:pt x="2297062" y="1780034"/>
                  </a:lnTo>
                  <a:cubicBezTo>
                    <a:pt x="2330871" y="1802356"/>
                    <a:pt x="2362946" y="1828400"/>
                    <a:pt x="2392709" y="1858163"/>
                  </a:cubicBezTo>
                  <a:lnTo>
                    <a:pt x="2392710" y="1858162"/>
                  </a:lnTo>
                  <a:cubicBezTo>
                    <a:pt x="2422473" y="1887925"/>
                    <a:pt x="2448517" y="1920000"/>
                    <a:pt x="2470839" y="1953809"/>
                  </a:cubicBezTo>
                  <a:lnTo>
                    <a:pt x="2507023" y="2022568"/>
                  </a:lnTo>
                  <a:lnTo>
                    <a:pt x="2526645" y="2059857"/>
                  </a:lnTo>
                  <a:lnTo>
                    <a:pt x="2543475" y="2116644"/>
                  </a:lnTo>
                  <a:lnTo>
                    <a:pt x="2560128" y="2172840"/>
                  </a:lnTo>
                  <a:cubicBezTo>
                    <a:pt x="2582450" y="2288135"/>
                    <a:pt x="2571290" y="2408632"/>
                    <a:pt x="2526644" y="2518725"/>
                  </a:cubicBezTo>
                  <a:lnTo>
                    <a:pt x="2519089" y="2533083"/>
                  </a:lnTo>
                  <a:lnTo>
                    <a:pt x="2504731" y="2540638"/>
                  </a:lnTo>
                  <a:cubicBezTo>
                    <a:pt x="2394638" y="2585284"/>
                    <a:pt x="2274141" y="2596444"/>
                    <a:pt x="2158846" y="2574122"/>
                  </a:cubicBezTo>
                  <a:lnTo>
                    <a:pt x="2102651" y="2557468"/>
                  </a:lnTo>
                  <a:lnTo>
                    <a:pt x="2154685" y="2505434"/>
                  </a:lnTo>
                  <a:cubicBezTo>
                    <a:pt x="2225316" y="2434803"/>
                    <a:pt x="2251803" y="2336743"/>
                    <a:pt x="2234146" y="2245541"/>
                  </a:cubicBezTo>
                  <a:lnTo>
                    <a:pt x="2232196" y="2238963"/>
                  </a:lnTo>
                  <a:lnTo>
                    <a:pt x="2218254" y="2191917"/>
                  </a:lnTo>
                  <a:cubicBezTo>
                    <a:pt x="2211190" y="2174499"/>
                    <a:pt x="2202361" y="2157630"/>
                    <a:pt x="2191767" y="2141583"/>
                  </a:cubicBezTo>
                  <a:lnTo>
                    <a:pt x="2170560" y="2115620"/>
                  </a:lnTo>
                  <a:lnTo>
                    <a:pt x="2170561" y="2115621"/>
                  </a:lnTo>
                  <a:lnTo>
                    <a:pt x="2154686" y="2096188"/>
                  </a:lnTo>
                  <a:lnTo>
                    <a:pt x="2123136" y="2070417"/>
                  </a:lnTo>
                  <a:lnTo>
                    <a:pt x="2111763" y="2056493"/>
                  </a:lnTo>
                  <a:cubicBezTo>
                    <a:pt x="2057265" y="1973954"/>
                    <a:pt x="2066348" y="1861786"/>
                    <a:pt x="2139011" y="1789123"/>
                  </a:cubicBezTo>
                  <a:close/>
                  <a:moveTo>
                    <a:pt x="1990827" y="1680281"/>
                  </a:moveTo>
                  <a:cubicBezTo>
                    <a:pt x="2020057" y="1681676"/>
                    <a:pt x="2049206" y="1685164"/>
                    <a:pt x="2078030" y="1690745"/>
                  </a:cubicBezTo>
                  <a:lnTo>
                    <a:pt x="2134228" y="1707399"/>
                  </a:lnTo>
                  <a:lnTo>
                    <a:pt x="2089421" y="1752206"/>
                  </a:lnTo>
                  <a:cubicBezTo>
                    <a:pt x="2018790" y="1822838"/>
                    <a:pt x="1992303" y="1920898"/>
                    <a:pt x="2009960" y="2012100"/>
                  </a:cubicBezTo>
                  <a:lnTo>
                    <a:pt x="2011910" y="2018676"/>
                  </a:lnTo>
                  <a:lnTo>
                    <a:pt x="2011910" y="2018677"/>
                  </a:lnTo>
                  <a:lnTo>
                    <a:pt x="2025853" y="2065723"/>
                  </a:lnTo>
                  <a:cubicBezTo>
                    <a:pt x="2032916" y="2083141"/>
                    <a:pt x="2041745" y="2100010"/>
                    <a:pt x="2052340" y="2116056"/>
                  </a:cubicBezTo>
                  <a:lnTo>
                    <a:pt x="2089419" y="2161450"/>
                  </a:lnTo>
                  <a:lnTo>
                    <a:pt x="2089422" y="2161452"/>
                  </a:lnTo>
                  <a:lnTo>
                    <a:pt x="2089424" y="2161455"/>
                  </a:lnTo>
                  <a:lnTo>
                    <a:pt x="2132715" y="2226648"/>
                  </a:lnTo>
                  <a:cubicBezTo>
                    <a:pt x="2161577" y="2297821"/>
                    <a:pt x="2147146" y="2382444"/>
                    <a:pt x="2089423" y="2440168"/>
                  </a:cubicBezTo>
                  <a:lnTo>
                    <a:pt x="2008575" y="2521016"/>
                  </a:lnTo>
                  <a:lnTo>
                    <a:pt x="1939815" y="2484833"/>
                  </a:lnTo>
                  <a:lnTo>
                    <a:pt x="1844168" y="2406704"/>
                  </a:lnTo>
                  <a:lnTo>
                    <a:pt x="1766040" y="2311058"/>
                  </a:lnTo>
                  <a:lnTo>
                    <a:pt x="1729857" y="2242300"/>
                  </a:lnTo>
                  <a:lnTo>
                    <a:pt x="1710234" y="2205009"/>
                  </a:lnTo>
                  <a:lnTo>
                    <a:pt x="1693404" y="2148223"/>
                  </a:lnTo>
                  <a:lnTo>
                    <a:pt x="1693403" y="2148224"/>
                  </a:lnTo>
                  <a:lnTo>
                    <a:pt x="1676749" y="2092027"/>
                  </a:lnTo>
                  <a:cubicBezTo>
                    <a:pt x="1654427" y="1976732"/>
                    <a:pt x="1665588" y="1856235"/>
                    <a:pt x="1710233" y="1746141"/>
                  </a:cubicBezTo>
                  <a:lnTo>
                    <a:pt x="1717788" y="1731782"/>
                  </a:lnTo>
                  <a:lnTo>
                    <a:pt x="1732144" y="1724228"/>
                  </a:lnTo>
                  <a:cubicBezTo>
                    <a:pt x="1814715" y="1690745"/>
                    <a:pt x="1903137" y="1676096"/>
                    <a:pt x="1990827" y="1680281"/>
                  </a:cubicBezTo>
                  <a:close/>
                  <a:moveTo>
                    <a:pt x="2855175" y="785987"/>
                  </a:moveTo>
                  <a:cubicBezTo>
                    <a:pt x="3011213" y="785987"/>
                    <a:pt x="3167252" y="845514"/>
                    <a:pt x="3286305" y="964567"/>
                  </a:cubicBezTo>
                  <a:lnTo>
                    <a:pt x="3286306" y="964566"/>
                  </a:lnTo>
                  <a:cubicBezTo>
                    <a:pt x="3524413" y="1202673"/>
                    <a:pt x="3524413" y="1588720"/>
                    <a:pt x="3286306" y="1826826"/>
                  </a:cubicBezTo>
                  <a:lnTo>
                    <a:pt x="2706427" y="2406705"/>
                  </a:lnTo>
                  <a:lnTo>
                    <a:pt x="2632339" y="2467223"/>
                  </a:lnTo>
                  <a:lnTo>
                    <a:pt x="2643060" y="2431050"/>
                  </a:lnTo>
                  <a:cubicBezTo>
                    <a:pt x="2660194" y="2342552"/>
                    <a:pt x="2660194" y="2251391"/>
                    <a:pt x="2643060" y="2162892"/>
                  </a:cubicBezTo>
                  <a:lnTo>
                    <a:pt x="2609722" y="2050399"/>
                  </a:lnTo>
                  <a:lnTo>
                    <a:pt x="3046620" y="1613500"/>
                  </a:lnTo>
                  <a:cubicBezTo>
                    <a:pt x="3159631" y="1500489"/>
                    <a:pt x="3159631" y="1317264"/>
                    <a:pt x="3046620" y="1204254"/>
                  </a:cubicBezTo>
                  <a:cubicBezTo>
                    <a:pt x="2933609" y="1091243"/>
                    <a:pt x="2750384" y="1091243"/>
                    <a:pt x="2637374" y="1204254"/>
                  </a:cubicBezTo>
                  <a:lnTo>
                    <a:pt x="2200475" y="1641152"/>
                  </a:lnTo>
                  <a:lnTo>
                    <a:pt x="2200474" y="1641151"/>
                  </a:lnTo>
                  <a:lnTo>
                    <a:pt x="2134228" y="1707398"/>
                  </a:lnTo>
                  <a:lnTo>
                    <a:pt x="2078029" y="1690744"/>
                  </a:lnTo>
                  <a:cubicBezTo>
                    <a:pt x="1962734" y="1668422"/>
                    <a:pt x="1842238" y="1679582"/>
                    <a:pt x="1732143" y="1724227"/>
                  </a:cubicBezTo>
                  <a:lnTo>
                    <a:pt x="1717787" y="1731781"/>
                  </a:lnTo>
                  <a:lnTo>
                    <a:pt x="1766039" y="1640092"/>
                  </a:lnTo>
                  <a:lnTo>
                    <a:pt x="1783649" y="1618534"/>
                  </a:lnTo>
                  <a:lnTo>
                    <a:pt x="1783651" y="1618533"/>
                  </a:lnTo>
                  <a:lnTo>
                    <a:pt x="1844168" y="1544446"/>
                  </a:lnTo>
                  <a:lnTo>
                    <a:pt x="2424045" y="964567"/>
                  </a:lnTo>
                  <a:cubicBezTo>
                    <a:pt x="2543099" y="845514"/>
                    <a:pt x="2699137" y="785987"/>
                    <a:pt x="2855175" y="785987"/>
                  </a:cubicBezTo>
                  <a:close/>
                  <a:moveTo>
                    <a:pt x="2125435" y="266463"/>
                  </a:moveTo>
                  <a:cubicBezTo>
                    <a:pt x="1098753" y="266463"/>
                    <a:pt x="266463" y="1098753"/>
                    <a:pt x="266463" y="2125435"/>
                  </a:cubicBezTo>
                  <a:cubicBezTo>
                    <a:pt x="266463" y="3152117"/>
                    <a:pt x="1098753" y="3984407"/>
                    <a:pt x="2125435" y="3984407"/>
                  </a:cubicBezTo>
                  <a:cubicBezTo>
                    <a:pt x="3152117" y="3984407"/>
                    <a:pt x="3984407" y="3152117"/>
                    <a:pt x="3984407" y="2125435"/>
                  </a:cubicBezTo>
                  <a:cubicBezTo>
                    <a:pt x="3984407" y="1098753"/>
                    <a:pt x="3152117" y="266463"/>
                    <a:pt x="2125435" y="266463"/>
                  </a:cubicBezTo>
                  <a:close/>
                  <a:moveTo>
                    <a:pt x="2125436" y="0"/>
                  </a:moveTo>
                  <a:cubicBezTo>
                    <a:pt x="3299282" y="0"/>
                    <a:pt x="4250872" y="951590"/>
                    <a:pt x="4250872" y="2125436"/>
                  </a:cubicBezTo>
                  <a:cubicBezTo>
                    <a:pt x="4250872" y="3299282"/>
                    <a:pt x="3299282" y="4250872"/>
                    <a:pt x="2125436" y="4250872"/>
                  </a:cubicBezTo>
                  <a:cubicBezTo>
                    <a:pt x="951590" y="4250872"/>
                    <a:pt x="0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lose/>
                </a:path>
              </a:pathLst>
            </a:custGeom>
            <a:solidFill>
              <a:schemeClr val="bg1"/>
            </a:solidFill>
            <a:ln w="25400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1" name="Agrupar 110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00000000-0008-0000-0500-00006F000000}"/>
              </a:ext>
            </a:extLst>
          </xdr:cNvPr>
          <xdr:cNvGrpSpPr/>
        </xdr:nvGrpSpPr>
        <xdr:grpSpPr>
          <a:xfrm>
            <a:off x="295275" y="125041"/>
            <a:ext cx="2674917" cy="243680"/>
            <a:chOff x="295275" y="125041"/>
            <a:chExt cx="2674917" cy="243680"/>
          </a:xfrm>
        </xdr:grpSpPr>
        <xdr:grpSp>
          <xdr:nvGrpSpPr>
            <xdr:cNvPr id="112" name="Agrupar 111">
              <a:extLst>
                <a:ext uri="{FF2B5EF4-FFF2-40B4-BE49-F238E27FC236}">
                  <a16:creationId xmlns:a16="http://schemas.microsoft.com/office/drawing/2014/main" id="{00000000-0008-0000-0500-000070000000}"/>
                </a:ext>
              </a:extLst>
            </xdr:cNvPr>
            <xdr:cNvGrpSpPr/>
          </xdr:nvGrpSpPr>
          <xdr:grpSpPr>
            <a:xfrm>
              <a:off x="295275" y="125041"/>
              <a:ext cx="2674917" cy="243680"/>
              <a:chOff x="370665" y="105468"/>
              <a:chExt cx="2671648" cy="244391"/>
            </a:xfrm>
          </xdr:grpSpPr>
          <xdr:sp macro="" textlink="">
            <xdr:nvSpPr>
              <xdr:cNvPr id="114" name="Retângulo: Cantos Arredondados 113">
                <a:extLst>
                  <a:ext uri="{FF2B5EF4-FFF2-40B4-BE49-F238E27FC236}">
                    <a16:creationId xmlns:a16="http://schemas.microsoft.com/office/drawing/2014/main" id="{00000000-0008-0000-0500-000072000000}"/>
                  </a:ext>
                </a:extLst>
              </xdr:cNvPr>
              <xdr:cNvSpPr/>
            </xdr:nvSpPr>
            <xdr:spPr>
              <a:xfrm>
                <a:off x="1199865" y="105468"/>
                <a:ext cx="1842448" cy="244391"/>
              </a:xfrm>
              <a:prstGeom prst="roundRect">
                <a:avLst>
                  <a:gd name="adj" fmla="val 50000"/>
                </a:avLst>
              </a:prstGeom>
              <a:noFill/>
              <a:ln w="285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144000" rIns="0" bIns="72000" rtlCol="0" anchor="ctr"/>
              <a:lstStyle/>
              <a:p>
                <a:pPr marL="0" indent="0" algn="ctr"/>
                <a:r>
                  <a:rPr lang="pt-BR" sz="105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rPr>
                  <a:t>         Treliça Modelo A</a:t>
                </a:r>
              </a:p>
            </xdr:txBody>
          </xdr:sp>
          <xdr:grpSp>
            <xdr:nvGrpSpPr>
              <xdr:cNvPr id="115" name="Agrupar 114">
                <a:extLst>
                  <a:ext uri="{FF2B5EF4-FFF2-40B4-BE49-F238E27FC236}">
                    <a16:creationId xmlns:a16="http://schemas.microsoft.com/office/drawing/2014/main" id="{00000000-0008-0000-0500-000073000000}"/>
                  </a:ext>
                </a:extLst>
              </xdr:cNvPr>
              <xdr:cNvGrpSpPr/>
            </xdr:nvGrpSpPr>
            <xdr:grpSpPr>
              <a:xfrm>
                <a:off x="370665" y="105468"/>
                <a:ext cx="1197484" cy="244391"/>
                <a:chOff x="1941892" y="104252"/>
                <a:chExt cx="1204439" cy="245585"/>
              </a:xfrm>
            </xdr:grpSpPr>
            <xdr:sp macro="" textlink="">
              <xdr:nvSpPr>
                <xdr:cNvPr id="116" name="Retângulo: Cantos Arredondados 115">
                  <a:extLst>
                    <a:ext uri="{FF2B5EF4-FFF2-40B4-BE49-F238E27FC236}">
                      <a16:creationId xmlns:a16="http://schemas.microsoft.com/office/drawing/2014/main" id="{00000000-0008-0000-0500-000074000000}"/>
                    </a:ext>
                  </a:extLst>
                </xdr:cNvPr>
                <xdr:cNvSpPr/>
              </xdr:nvSpPr>
              <xdr:spPr>
                <a:xfrm>
                  <a:off x="1941892" y="104252"/>
                  <a:ext cx="1204439" cy="245585"/>
                </a:xfrm>
                <a:prstGeom prst="roundRect">
                  <a:avLst>
                    <a:gd name="adj" fmla="val 50000"/>
                  </a:avLst>
                </a:prstGeom>
                <a:solidFill>
                  <a:schemeClr val="tx1">
                    <a:lumMod val="85000"/>
                    <a:lumOff val="15000"/>
                  </a:schemeClr>
                </a:solidFill>
                <a:ln w="28575">
                  <a:solidFill>
                    <a:schemeClr val="tx1">
                      <a:lumMod val="85000"/>
                      <a:lumOff val="15000"/>
                    </a:schemeClr>
                  </a:solidFill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144000" rIns="0" bIns="72000" rtlCol="0" anchor="ctr"/>
                <a:lstStyle/>
                <a:p>
                  <a:pPr marL="0" indent="0" algn="ctr"/>
                  <a:r>
                    <a:rPr lang="pt-BR" sz="1100">
                      <a:solidFill>
                        <a:schemeClr val="lt1"/>
                      </a:solidFill>
                      <a:latin typeface="Segoe UI Semibold" panose="020B0702040204020203" pitchFamily="34" charset="0"/>
                      <a:ea typeface="+mn-ea"/>
                      <a:cs typeface="Segoe UI Semibold" panose="020B0702040204020203" pitchFamily="34" charset="0"/>
                    </a:rPr>
                    <a:t>Menu Inicial</a:t>
                  </a:r>
                </a:p>
              </xdr:txBody>
            </xdr:sp>
            <xdr:sp macro="" textlink="">
              <xdr:nvSpPr>
                <xdr:cNvPr id="117" name="Forma Livre: Forma 116">
                  <a:extLst>
                    <a:ext uri="{FF2B5EF4-FFF2-40B4-BE49-F238E27FC236}">
                      <a16:creationId xmlns:a16="http://schemas.microsoft.com/office/drawing/2014/main" id="{00000000-0008-0000-0500-000075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2017848" y="142345"/>
                  <a:ext cx="169596" cy="160423"/>
                </a:xfrm>
                <a:custGeom>
                  <a:avLst/>
                  <a:gdLst>
                    <a:gd name="connsiteX0" fmla="*/ 2207243 w 3579070"/>
                    <a:gd name="connsiteY0" fmla="*/ 3366545 h 3368926"/>
                    <a:gd name="connsiteX1" fmla="*/ 2535059 w 3579070"/>
                    <a:gd name="connsiteY1" fmla="*/ 3366545 h 3368926"/>
                    <a:gd name="connsiteX2" fmla="*/ 2523265 w 3579070"/>
                    <a:gd name="connsiteY2" fmla="*/ 3368926 h 3368926"/>
                    <a:gd name="connsiteX3" fmla="*/ 2219036 w 3579070"/>
                    <a:gd name="connsiteY3" fmla="*/ 3368926 h 3368926"/>
                    <a:gd name="connsiteX4" fmla="*/ 1789535 w 3579070"/>
                    <a:gd name="connsiteY4" fmla="*/ 0 h 3368926"/>
                    <a:gd name="connsiteX5" fmla="*/ 2012243 w 3579070"/>
                    <a:gd name="connsiteY5" fmla="*/ 92249 h 3368926"/>
                    <a:gd name="connsiteX6" fmla="*/ 2012247 w 3579070"/>
                    <a:gd name="connsiteY6" fmla="*/ 92254 h 3368926"/>
                    <a:gd name="connsiteX7" fmla="*/ 3486822 w 3579070"/>
                    <a:gd name="connsiteY7" fmla="*/ 1566828 h 3368926"/>
                    <a:gd name="connsiteX8" fmla="*/ 3486822 w 3579070"/>
                    <a:gd name="connsiteY8" fmla="*/ 2012243 h 3368926"/>
                    <a:gd name="connsiteX9" fmla="*/ 3203960 w 3579070"/>
                    <a:gd name="connsiteY9" fmla="*/ 2098726 h 3368926"/>
                    <a:gd name="connsiteX10" fmla="*/ 3147176 w 3579070"/>
                    <a:gd name="connsiteY10" fmla="*/ 2081898 h 3368926"/>
                    <a:gd name="connsiteX11" fmla="*/ 3147176 w 3579070"/>
                    <a:gd name="connsiteY11" fmla="*/ 2993894 h 3368926"/>
                    <a:gd name="connsiteX12" fmla="*/ 2774526 w 3579070"/>
                    <a:gd name="connsiteY12" fmla="*/ 3366544 h 3368926"/>
                    <a:gd name="connsiteX13" fmla="*/ 2535059 w 3579070"/>
                    <a:gd name="connsiteY13" fmla="*/ 3366544 h 3368926"/>
                    <a:gd name="connsiteX14" fmla="*/ 2207243 w 3579070"/>
                    <a:gd name="connsiteY14" fmla="*/ 3366544 h 3368926"/>
                    <a:gd name="connsiteX15" fmla="*/ 2182467 w 3579070"/>
                    <a:gd name="connsiteY15" fmla="*/ 3361542 h 3368926"/>
                    <a:gd name="connsiteX16" fmla="*/ 2132471 w 3579070"/>
                    <a:gd name="connsiteY16" fmla="*/ 3311546 h 3368926"/>
                    <a:gd name="connsiteX17" fmla="*/ 2127469 w 3579070"/>
                    <a:gd name="connsiteY17" fmla="*/ 3286771 h 3368926"/>
                    <a:gd name="connsiteX18" fmla="*/ 2127469 w 3579070"/>
                    <a:gd name="connsiteY18" fmla="*/ 3286772 h 3368926"/>
                    <a:gd name="connsiteX19" fmla="*/ 2125088 w 3579070"/>
                    <a:gd name="connsiteY19" fmla="*/ 3274978 h 3368926"/>
                    <a:gd name="connsiteX20" fmla="*/ 2125088 w 3579070"/>
                    <a:gd name="connsiteY20" fmla="*/ 3079022 h 3368926"/>
                    <a:gd name="connsiteX21" fmla="*/ 2126378 w 3579070"/>
                    <a:gd name="connsiteY21" fmla="*/ 3072633 h 3368926"/>
                    <a:gd name="connsiteX22" fmla="*/ 2126378 w 3579070"/>
                    <a:gd name="connsiteY22" fmla="*/ 2991827 h 3368926"/>
                    <a:gd name="connsiteX23" fmla="*/ 2127469 w 3579070"/>
                    <a:gd name="connsiteY23" fmla="*/ 2986423 h 3368926"/>
                    <a:gd name="connsiteX24" fmla="*/ 2127469 w 3579070"/>
                    <a:gd name="connsiteY24" fmla="*/ 2455209 h 3368926"/>
                    <a:gd name="connsiteX25" fmla="*/ 1962922 w 3579070"/>
                    <a:gd name="connsiteY25" fmla="*/ 2290662 h 3368926"/>
                    <a:gd name="connsiteX26" fmla="*/ 1619710 w 3579070"/>
                    <a:gd name="connsiteY26" fmla="*/ 2290662 h 3368926"/>
                    <a:gd name="connsiteX27" fmla="*/ 1455163 w 3579070"/>
                    <a:gd name="connsiteY27" fmla="*/ 2455209 h 3368926"/>
                    <a:gd name="connsiteX28" fmla="*/ 1455163 w 3579070"/>
                    <a:gd name="connsiteY28" fmla="*/ 3067228 h 3368926"/>
                    <a:gd name="connsiteX29" fmla="*/ 1452782 w 3579070"/>
                    <a:gd name="connsiteY29" fmla="*/ 3055435 h 3368926"/>
                    <a:gd name="connsiteX30" fmla="*/ 1452782 w 3579070"/>
                    <a:gd name="connsiteY30" fmla="*/ 3055436 h 3368926"/>
                    <a:gd name="connsiteX31" fmla="*/ 1455163 w 3579070"/>
                    <a:gd name="connsiteY31" fmla="*/ 3067229 h 3368926"/>
                    <a:gd name="connsiteX32" fmla="*/ 1457544 w 3579070"/>
                    <a:gd name="connsiteY32" fmla="*/ 3079022 h 3368926"/>
                    <a:gd name="connsiteX33" fmla="*/ 1457544 w 3579070"/>
                    <a:gd name="connsiteY33" fmla="*/ 3274978 h 3368926"/>
                    <a:gd name="connsiteX34" fmla="*/ 1455163 w 3579070"/>
                    <a:gd name="connsiteY34" fmla="*/ 3286772 h 3368926"/>
                    <a:gd name="connsiteX35" fmla="*/ 1450161 w 3579070"/>
                    <a:gd name="connsiteY35" fmla="*/ 3311547 h 3368926"/>
                    <a:gd name="connsiteX36" fmla="*/ 1400165 w 3579070"/>
                    <a:gd name="connsiteY36" fmla="*/ 3361543 h 3368926"/>
                    <a:gd name="connsiteX37" fmla="*/ 1375389 w 3579070"/>
                    <a:gd name="connsiteY37" fmla="*/ 3366545 h 3368926"/>
                    <a:gd name="connsiteX38" fmla="*/ 1363596 w 3579070"/>
                    <a:gd name="connsiteY38" fmla="*/ 3368926 h 3368926"/>
                    <a:gd name="connsiteX39" fmla="*/ 1059367 w 3579070"/>
                    <a:gd name="connsiteY39" fmla="*/ 3368926 h 3368926"/>
                    <a:gd name="connsiteX40" fmla="*/ 1047573 w 3579070"/>
                    <a:gd name="connsiteY40" fmla="*/ 3366545 h 3368926"/>
                    <a:gd name="connsiteX41" fmla="*/ 1047568 w 3579070"/>
                    <a:gd name="connsiteY41" fmla="*/ 3366544 h 3368926"/>
                    <a:gd name="connsiteX42" fmla="*/ 804543 w 3579070"/>
                    <a:gd name="connsiteY42" fmla="*/ 3366544 h 3368926"/>
                    <a:gd name="connsiteX43" fmla="*/ 431893 w 3579070"/>
                    <a:gd name="connsiteY43" fmla="*/ 2993894 h 3368926"/>
                    <a:gd name="connsiteX44" fmla="*/ 431893 w 3579070"/>
                    <a:gd name="connsiteY44" fmla="*/ 2081898 h 3368926"/>
                    <a:gd name="connsiteX45" fmla="*/ 375110 w 3579070"/>
                    <a:gd name="connsiteY45" fmla="*/ 2098726 h 3368926"/>
                    <a:gd name="connsiteX46" fmla="*/ 92248 w 3579070"/>
                    <a:gd name="connsiteY46" fmla="*/ 2012243 h 3368926"/>
                    <a:gd name="connsiteX47" fmla="*/ 92248 w 3579070"/>
                    <a:gd name="connsiteY47" fmla="*/ 1566828 h 3368926"/>
                    <a:gd name="connsiteX48" fmla="*/ 1566823 w 3579070"/>
                    <a:gd name="connsiteY48" fmla="*/ 92254 h 3368926"/>
                    <a:gd name="connsiteX49" fmla="*/ 1566827 w 3579070"/>
                    <a:gd name="connsiteY49" fmla="*/ 92249 h 3368926"/>
                    <a:gd name="connsiteX50" fmla="*/ 1729380 w 3579070"/>
                    <a:gd name="connsiteY50" fmla="*/ 5766 h 3368926"/>
                    <a:gd name="connsiteX51" fmla="*/ 1784115 w 3579070"/>
                    <a:gd name="connsiteY51" fmla="*/ 520 h 336892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  <a:cxn ang="0">
                      <a:pos x="connsiteX51" y="connsiteY51"/>
                    </a:cxn>
                  </a:cxnLst>
                  <a:rect l="l" t="t" r="r" b="b"/>
                  <a:pathLst>
                    <a:path w="3579070" h="3368926">
                      <a:moveTo>
                        <a:pt x="2207243" y="3366545"/>
                      </a:moveTo>
                      <a:lnTo>
                        <a:pt x="2535059" y="3366545"/>
                      </a:lnTo>
                      <a:lnTo>
                        <a:pt x="2523265" y="3368926"/>
                      </a:lnTo>
                      <a:lnTo>
                        <a:pt x="2219036" y="3368926"/>
                      </a:lnTo>
                      <a:close/>
                      <a:moveTo>
                        <a:pt x="1789535" y="0"/>
                      </a:moveTo>
                      <a:cubicBezTo>
                        <a:pt x="1870140" y="0"/>
                        <a:pt x="1950744" y="30750"/>
                        <a:pt x="2012243" y="92249"/>
                      </a:cubicBezTo>
                      <a:lnTo>
                        <a:pt x="2012247" y="92254"/>
                      </a:lnTo>
                      <a:lnTo>
                        <a:pt x="3486822" y="1566828"/>
                      </a:lnTo>
                      <a:cubicBezTo>
                        <a:pt x="3609820" y="1689826"/>
                        <a:pt x="3609820" y="1889246"/>
                        <a:pt x="3486822" y="2012243"/>
                      </a:cubicBezTo>
                      <a:cubicBezTo>
                        <a:pt x="3409949" y="2089117"/>
                        <a:pt x="3303223" y="2117945"/>
                        <a:pt x="3203960" y="2098726"/>
                      </a:cubicBezTo>
                      <a:lnTo>
                        <a:pt x="3147176" y="2081898"/>
                      </a:lnTo>
                      <a:lnTo>
                        <a:pt x="3147176" y="2993894"/>
                      </a:lnTo>
                      <a:cubicBezTo>
                        <a:pt x="3147176" y="3199703"/>
                        <a:pt x="2980335" y="3366544"/>
                        <a:pt x="2774526" y="3366544"/>
                      </a:cubicBezTo>
                      <a:lnTo>
                        <a:pt x="2535059" y="3366544"/>
                      </a:lnTo>
                      <a:lnTo>
                        <a:pt x="2207243" y="3366544"/>
                      </a:lnTo>
                      <a:lnTo>
                        <a:pt x="2182467" y="3361542"/>
                      </a:lnTo>
                      <a:cubicBezTo>
                        <a:pt x="2159988" y="3352034"/>
                        <a:pt x="2141979" y="3334026"/>
                        <a:pt x="2132471" y="3311546"/>
                      </a:cubicBezTo>
                      <a:lnTo>
                        <a:pt x="2127469" y="3286771"/>
                      </a:lnTo>
                      <a:lnTo>
                        <a:pt x="2127469" y="3286772"/>
                      </a:lnTo>
                      <a:lnTo>
                        <a:pt x="2125088" y="3274978"/>
                      </a:lnTo>
                      <a:lnTo>
                        <a:pt x="2125088" y="3079022"/>
                      </a:lnTo>
                      <a:lnTo>
                        <a:pt x="2126378" y="3072633"/>
                      </a:lnTo>
                      <a:lnTo>
                        <a:pt x="2126378" y="2991827"/>
                      </a:lnTo>
                      <a:lnTo>
                        <a:pt x="2127469" y="2986423"/>
                      </a:lnTo>
                      <a:lnTo>
                        <a:pt x="2127469" y="2455209"/>
                      </a:lnTo>
                      <a:cubicBezTo>
                        <a:pt x="2127469" y="2364332"/>
                        <a:pt x="2053799" y="2290662"/>
                        <a:pt x="1962922" y="2290662"/>
                      </a:cubicBezTo>
                      <a:lnTo>
                        <a:pt x="1619710" y="2290662"/>
                      </a:lnTo>
                      <a:cubicBezTo>
                        <a:pt x="1528833" y="2290662"/>
                        <a:pt x="1455163" y="2364332"/>
                        <a:pt x="1455163" y="2455209"/>
                      </a:cubicBezTo>
                      <a:lnTo>
                        <a:pt x="1455163" y="3067228"/>
                      </a:lnTo>
                      <a:lnTo>
                        <a:pt x="1452782" y="3055435"/>
                      </a:lnTo>
                      <a:lnTo>
                        <a:pt x="1452782" y="3055436"/>
                      </a:lnTo>
                      <a:lnTo>
                        <a:pt x="1455163" y="3067229"/>
                      </a:lnTo>
                      <a:lnTo>
                        <a:pt x="1457544" y="3079022"/>
                      </a:lnTo>
                      <a:lnTo>
                        <a:pt x="1457544" y="3274978"/>
                      </a:lnTo>
                      <a:lnTo>
                        <a:pt x="1455163" y="3286772"/>
                      </a:lnTo>
                      <a:lnTo>
                        <a:pt x="1450161" y="3311547"/>
                      </a:lnTo>
                      <a:cubicBezTo>
                        <a:pt x="1440653" y="3334027"/>
                        <a:pt x="1422644" y="3352035"/>
                        <a:pt x="1400165" y="3361543"/>
                      </a:cubicBezTo>
                      <a:lnTo>
                        <a:pt x="1375389" y="3366545"/>
                      </a:lnTo>
                      <a:lnTo>
                        <a:pt x="1363596" y="3368926"/>
                      </a:lnTo>
                      <a:lnTo>
                        <a:pt x="1059367" y="3368926"/>
                      </a:lnTo>
                      <a:lnTo>
                        <a:pt x="1047573" y="3366545"/>
                      </a:lnTo>
                      <a:lnTo>
                        <a:pt x="1047568" y="3366544"/>
                      </a:lnTo>
                      <a:lnTo>
                        <a:pt x="804543" y="3366544"/>
                      </a:lnTo>
                      <a:cubicBezTo>
                        <a:pt x="598734" y="3366544"/>
                        <a:pt x="431893" y="3199703"/>
                        <a:pt x="431893" y="2993894"/>
                      </a:cubicBezTo>
                      <a:lnTo>
                        <a:pt x="431893" y="2081898"/>
                      </a:lnTo>
                      <a:lnTo>
                        <a:pt x="375110" y="2098726"/>
                      </a:lnTo>
                      <a:cubicBezTo>
                        <a:pt x="275847" y="2117945"/>
                        <a:pt x="169121" y="2089117"/>
                        <a:pt x="92248" y="2012243"/>
                      </a:cubicBezTo>
                      <a:cubicBezTo>
                        <a:pt x="-30750" y="1889246"/>
                        <a:pt x="-30750" y="1689826"/>
                        <a:pt x="92248" y="1566828"/>
                      </a:cubicBezTo>
                      <a:lnTo>
                        <a:pt x="1566823" y="92254"/>
                      </a:lnTo>
                      <a:lnTo>
                        <a:pt x="1566827" y="92249"/>
                      </a:lnTo>
                      <a:cubicBezTo>
                        <a:pt x="1612951" y="46124"/>
                        <a:pt x="1669822" y="17297"/>
                        <a:pt x="1729380" y="5766"/>
                      </a:cubicBezTo>
                      <a:lnTo>
                        <a:pt x="1784115" y="520"/>
                      </a:lnTo>
                      <a:close/>
                    </a:path>
                  </a:pathLst>
                </a:custGeom>
                <a:noFill/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/>
                </a:p>
              </xdr:txBody>
            </xdr:sp>
          </xdr:grpSp>
        </xdr:grpSp>
        <xdr:sp macro="" textlink="">
          <xdr:nvSpPr>
            <xdr:cNvPr id="113" name="Forma Livre: Forma 112">
              <a:extLst>
                <a:ext uri="{FF2B5EF4-FFF2-40B4-BE49-F238E27FC236}">
                  <a16:creationId xmlns:a16="http://schemas.microsoft.com/office/drawing/2014/main" id="{00000000-0008-0000-0500-000071000000}"/>
                </a:ext>
              </a:extLst>
            </xdr:cNvPr>
            <xdr:cNvSpPr/>
          </xdr:nvSpPr>
          <xdr:spPr>
            <a:xfrm>
              <a:off x="1569244" y="190501"/>
              <a:ext cx="176212" cy="90310"/>
            </a:xfrm>
            <a:custGeom>
              <a:avLst/>
              <a:gdLst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53778 w 8618536"/>
                <a:gd name="connsiteY41" fmla="*/ 1609322 h 2668736"/>
                <a:gd name="connsiteX42" fmla="*/ 1865802 w 8618536"/>
                <a:gd name="connsiteY42" fmla="*/ 1609322 h 2668736"/>
                <a:gd name="connsiteX43" fmla="*/ 442396 w 8618536"/>
                <a:gd name="connsiteY43" fmla="*/ 2433210 h 2668736"/>
                <a:gd name="connsiteX44" fmla="*/ 1855398 w 8618536"/>
                <a:gd name="connsiteY44" fmla="*/ 2433210 h 2668736"/>
                <a:gd name="connsiteX45" fmla="*/ 1853778 w 8618536"/>
                <a:gd name="connsiteY45" fmla="*/ 2434185 h 2668736"/>
                <a:gd name="connsiteX46" fmla="*/ 2822946 w 8618536"/>
                <a:gd name="connsiteY46" fmla="*/ 2434185 h 2668736"/>
                <a:gd name="connsiteX47" fmla="*/ 2821326 w 8618536"/>
                <a:gd name="connsiteY47" fmla="*/ 2433210 h 2668736"/>
                <a:gd name="connsiteX48" fmla="*/ 4190999 w 8618536"/>
                <a:gd name="connsiteY48" fmla="*/ 2433210 h 2668736"/>
                <a:gd name="connsiteX49" fmla="*/ 4190999 w 8618536"/>
                <a:gd name="connsiteY49" fmla="*/ 2408443 h 2668736"/>
                <a:gd name="connsiteX50" fmla="*/ 2810382 w 8618536"/>
                <a:gd name="connsiteY50" fmla="*/ 1609322 h 2668736"/>
                <a:gd name="connsiteX51" fmla="*/ 2822946 w 8618536"/>
                <a:gd name="connsiteY51" fmla="*/ 1609322 h 2668736"/>
                <a:gd name="connsiteX52" fmla="*/ 2338362 w 8618536"/>
                <a:gd name="connsiteY52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10382 w 8618536"/>
                <a:gd name="connsiteY49" fmla="*/ 1609322 h 2668736"/>
                <a:gd name="connsiteX50" fmla="*/ 2822946 w 8618536"/>
                <a:gd name="connsiteY50" fmla="*/ 1609322 h 2668736"/>
                <a:gd name="connsiteX51" fmla="*/ 2338362 w 8618536"/>
                <a:gd name="connsiteY51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22946 w 8618536"/>
                <a:gd name="connsiteY49" fmla="*/ 1609322 h 2668736"/>
                <a:gd name="connsiteX50" fmla="*/ 2338362 w 8618536"/>
                <a:gd name="connsiteY50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4190999 w 8618536"/>
                <a:gd name="connsiteY47" fmla="*/ 2408443 h 2668736"/>
                <a:gd name="connsiteX48" fmla="*/ 2822946 w 8618536"/>
                <a:gd name="connsiteY48" fmla="*/ 1609322 h 2668736"/>
                <a:gd name="connsiteX49" fmla="*/ 2338362 w 8618536"/>
                <a:gd name="connsiteY49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86851 w 8618536"/>
                <a:gd name="connsiteY27" fmla="*/ 243956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62225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</a:cxnLst>
              <a:rect l="l" t="t" r="r" b="b"/>
              <a:pathLst>
                <a:path w="8618536" h="2668736">
                  <a:moveTo>
                    <a:pt x="4417215" y="0"/>
                  </a:moveTo>
                  <a:lnTo>
                    <a:pt x="8611683" y="2427820"/>
                  </a:lnTo>
                  <a:lnTo>
                    <a:pt x="8618088" y="2433210"/>
                  </a:lnTo>
                  <a:cubicBezTo>
                    <a:pt x="8618237" y="2509338"/>
                    <a:pt x="8618387" y="2585466"/>
                    <a:pt x="8618536" y="2661594"/>
                  </a:cubicBezTo>
                  <a:lnTo>
                    <a:pt x="6369626" y="2659212"/>
                  </a:lnTo>
                  <a:lnTo>
                    <a:pt x="6143624" y="2659212"/>
                  </a:lnTo>
                  <a:lnTo>
                    <a:pt x="4417001" y="2659212"/>
                  </a:lnTo>
                  <a:lnTo>
                    <a:pt x="4417001" y="2659213"/>
                  </a:lnTo>
                  <a:lnTo>
                    <a:pt x="4190999" y="2659213"/>
                  </a:lnTo>
                  <a:lnTo>
                    <a:pt x="4190999" y="2659212"/>
                  </a:lnTo>
                  <a:lnTo>
                    <a:pt x="0" y="2668736"/>
                  </a:lnTo>
                  <a:cubicBezTo>
                    <a:pt x="1226" y="2590227"/>
                    <a:pt x="2451" y="2511719"/>
                    <a:pt x="3677" y="2433210"/>
                  </a:cubicBezTo>
                  <a:lnTo>
                    <a:pt x="558" y="2427822"/>
                  </a:lnTo>
                  <a:lnTo>
                    <a:pt x="4190999" y="2333"/>
                  </a:lnTo>
                  <a:lnTo>
                    <a:pt x="4190999" y="5"/>
                  </a:lnTo>
                  <a:lnTo>
                    <a:pt x="4195022" y="5"/>
                  </a:lnTo>
                  <a:cubicBezTo>
                    <a:pt x="4195024" y="4"/>
                    <a:pt x="4195025" y="3"/>
                    <a:pt x="4195027" y="2"/>
                  </a:cubicBezTo>
                  <a:cubicBezTo>
                    <a:pt x="4195028" y="3"/>
                    <a:pt x="4195028" y="4"/>
                    <a:pt x="4195029" y="5"/>
                  </a:cubicBezTo>
                  <a:lnTo>
                    <a:pt x="4417001" y="5"/>
                  </a:lnTo>
                  <a:lnTo>
                    <a:pt x="4417001" y="369"/>
                  </a:lnTo>
                  <a:lnTo>
                    <a:pt x="4417215" y="0"/>
                  </a:lnTo>
                  <a:close/>
                  <a:moveTo>
                    <a:pt x="4417001" y="261007"/>
                  </a:moveTo>
                  <a:cubicBezTo>
                    <a:pt x="4414884" y="924111"/>
                    <a:pt x="4412768" y="1599121"/>
                    <a:pt x="4410651" y="2262225"/>
                  </a:cubicBezTo>
                  <a:lnTo>
                    <a:pt x="6044928" y="1203275"/>
                  </a:lnTo>
                  <a:lnTo>
                    <a:pt x="4417001" y="261007"/>
                  </a:lnTo>
                  <a:close/>
                  <a:moveTo>
                    <a:pt x="6268587" y="1324844"/>
                  </a:moveTo>
                  <a:lnTo>
                    <a:pt x="5828997" y="1589390"/>
                  </a:lnTo>
                  <a:lnTo>
                    <a:pt x="4524951" y="2441941"/>
                  </a:lnTo>
                  <a:lnTo>
                    <a:pt x="5785622" y="2433210"/>
                  </a:lnTo>
                  <a:lnTo>
                    <a:pt x="5784003" y="2434184"/>
                  </a:lnTo>
                  <a:lnTo>
                    <a:pt x="6753171" y="2434184"/>
                  </a:lnTo>
                  <a:lnTo>
                    <a:pt x="6751553" y="2433210"/>
                  </a:lnTo>
                  <a:lnTo>
                    <a:pt x="8169849" y="2433210"/>
                  </a:lnTo>
                  <a:lnTo>
                    <a:pt x="6611755" y="1531363"/>
                  </a:lnTo>
                  <a:lnTo>
                    <a:pt x="6268587" y="1324844"/>
                  </a:lnTo>
                  <a:close/>
                  <a:moveTo>
                    <a:pt x="4190999" y="263464"/>
                  </a:moveTo>
                  <a:lnTo>
                    <a:pt x="2563665" y="1205389"/>
                  </a:lnTo>
                  <a:lnTo>
                    <a:pt x="4187824" y="2252089"/>
                  </a:lnTo>
                  <a:cubicBezTo>
                    <a:pt x="4188882" y="1589214"/>
                    <a:pt x="4189941" y="926339"/>
                    <a:pt x="4190999" y="263464"/>
                  </a:cubicBezTo>
                  <a:close/>
                  <a:moveTo>
                    <a:pt x="2338362" y="1317699"/>
                  </a:moveTo>
                  <a:lnTo>
                    <a:pt x="1865802" y="1609322"/>
                  </a:lnTo>
                  <a:lnTo>
                    <a:pt x="442396" y="2433210"/>
                  </a:lnTo>
                  <a:lnTo>
                    <a:pt x="1855398" y="2433210"/>
                  </a:lnTo>
                  <a:lnTo>
                    <a:pt x="1853778" y="2434185"/>
                  </a:lnTo>
                  <a:lnTo>
                    <a:pt x="2822946" y="2434185"/>
                  </a:lnTo>
                  <a:lnTo>
                    <a:pt x="2821326" y="2433210"/>
                  </a:lnTo>
                  <a:lnTo>
                    <a:pt x="4063999" y="2423685"/>
                  </a:lnTo>
                  <a:lnTo>
                    <a:pt x="2822946" y="1609322"/>
                  </a:lnTo>
                  <a:lnTo>
                    <a:pt x="2338362" y="1317699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solidFill>
                <a:schemeClr val="bg1"/>
              </a:solidFill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102384</xdr:colOff>
      <xdr:row>3</xdr:row>
      <xdr:rowOff>288573</xdr:rowOff>
    </xdr:from>
    <xdr:to>
      <xdr:col>8</xdr:col>
      <xdr:colOff>3641</xdr:colOff>
      <xdr:row>7</xdr:row>
      <xdr:rowOff>130420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2059" y="745773"/>
          <a:ext cx="1672907" cy="822922"/>
        </a:xfrm>
        <a:prstGeom prst="rect">
          <a:avLst/>
        </a:prstGeom>
      </xdr:spPr>
    </xdr:pic>
    <xdr:clientData/>
  </xdr:twoCellAnchor>
  <xdr:twoCellAnchor>
    <xdr:from>
      <xdr:col>0</xdr:col>
      <xdr:colOff>1735248</xdr:colOff>
      <xdr:row>9</xdr:row>
      <xdr:rowOff>183778</xdr:rowOff>
    </xdr:from>
    <xdr:to>
      <xdr:col>4</xdr:col>
      <xdr:colOff>9431</xdr:colOff>
      <xdr:row>31</xdr:row>
      <xdr:rowOff>18862</xdr:rowOff>
    </xdr:to>
    <xdr:sp macro="" textlink="">
      <xdr:nvSpPr>
        <xdr:cNvPr id="124" name="Retângulo: Cantos Arredondados 12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/>
      </xdr:nvSpPr>
      <xdr:spPr>
        <a:xfrm>
          <a:off x="1735248" y="1822078"/>
          <a:ext cx="2141333" cy="4397559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226871</xdr:colOff>
      <xdr:row>33</xdr:row>
      <xdr:rowOff>165532</xdr:rowOff>
    </xdr:from>
    <xdr:to>
      <xdr:col>10</xdr:col>
      <xdr:colOff>37348</xdr:colOff>
      <xdr:row>49</xdr:row>
      <xdr:rowOff>28575</xdr:rowOff>
    </xdr:to>
    <xdr:sp macro="" textlink="">
      <xdr:nvSpPr>
        <xdr:cNvPr id="125" name="Retângulo: Cantos Arredondados 124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/>
      </xdr:nvSpPr>
      <xdr:spPr>
        <a:xfrm>
          <a:off x="6084746" y="6785407"/>
          <a:ext cx="1744052" cy="2920568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1735240</xdr:colOff>
      <xdr:row>33</xdr:row>
      <xdr:rowOff>165532</xdr:rowOff>
    </xdr:from>
    <xdr:to>
      <xdr:col>4</xdr:col>
      <xdr:colOff>9108</xdr:colOff>
      <xdr:row>49</xdr:row>
      <xdr:rowOff>38100</xdr:rowOff>
    </xdr:to>
    <xdr:sp macro="" textlink="">
      <xdr:nvSpPr>
        <xdr:cNvPr id="126" name="Retângulo: Cantos Arredondados 125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/>
      </xdr:nvSpPr>
      <xdr:spPr>
        <a:xfrm>
          <a:off x="1735240" y="6785407"/>
          <a:ext cx="2141018" cy="2930093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226871</xdr:colOff>
      <xdr:row>9</xdr:row>
      <xdr:rowOff>183778</xdr:rowOff>
    </xdr:from>
    <xdr:to>
      <xdr:col>10</xdr:col>
      <xdr:colOff>37348</xdr:colOff>
      <xdr:row>31</xdr:row>
      <xdr:rowOff>19050</xdr:rowOff>
    </xdr:to>
    <xdr:sp macro="" textlink="">
      <xdr:nvSpPr>
        <xdr:cNvPr id="127" name="Retângulo: Cantos Arredondados 126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/>
      </xdr:nvSpPr>
      <xdr:spPr>
        <a:xfrm>
          <a:off x="6084746" y="1822078"/>
          <a:ext cx="1744052" cy="4397747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210785</xdr:colOff>
      <xdr:row>9</xdr:row>
      <xdr:rowOff>130751</xdr:rowOff>
    </xdr:from>
    <xdr:to>
      <xdr:col>12</xdr:col>
      <xdr:colOff>264155</xdr:colOff>
      <xdr:row>20</xdr:row>
      <xdr:rowOff>38759</xdr:rowOff>
    </xdr:to>
    <xdr:grpSp>
      <xdr:nvGrpSpPr>
        <xdr:cNvPr id="316" name="Agrupar 315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GrpSpPr/>
      </xdr:nvGrpSpPr>
      <xdr:grpSpPr>
        <a:xfrm>
          <a:off x="8227025" y="1951931"/>
          <a:ext cx="1455450" cy="2003508"/>
          <a:chOff x="8009874" y="5520325"/>
          <a:chExt cx="1420820" cy="2058960"/>
        </a:xfrm>
      </xdr:grpSpPr>
      <xdr:grpSp>
        <xdr:nvGrpSpPr>
          <xdr:cNvPr id="133" name="Agrupar 132">
            <a:extLst>
              <a:ext uri="{FF2B5EF4-FFF2-40B4-BE49-F238E27FC236}">
                <a16:creationId xmlns:a16="http://schemas.microsoft.com/office/drawing/2014/main" id="{00000000-0008-0000-0600-000085000000}"/>
              </a:ext>
            </a:extLst>
          </xdr:cNvPr>
          <xdr:cNvGrpSpPr/>
        </xdr:nvGrpSpPr>
        <xdr:grpSpPr>
          <a:xfrm>
            <a:off x="8009874" y="5520325"/>
            <a:ext cx="1420820" cy="2058960"/>
            <a:chOff x="5629042" y="9362031"/>
            <a:chExt cx="1847571" cy="1695026"/>
          </a:xfrm>
        </xdr:grpSpPr>
        <xdr:sp macro="" textlink="">
          <xdr:nvSpPr>
            <xdr:cNvPr id="134" name="Retângulo: Cantos Arredondados 133">
              <a:extLst>
                <a:ext uri="{FF2B5EF4-FFF2-40B4-BE49-F238E27FC236}">
                  <a16:creationId xmlns:a16="http://schemas.microsoft.com/office/drawing/2014/main" id="{00000000-0008-0000-0600-000086000000}"/>
                </a:ext>
              </a:extLst>
            </xdr:cNvPr>
            <xdr:cNvSpPr/>
          </xdr:nvSpPr>
          <xdr:spPr>
            <a:xfrm>
              <a:off x="5629042" y="9362031"/>
              <a:ext cx="1847571" cy="1682195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35" name="Retângulo 134">
              <a:extLst>
                <a:ext uri="{FF2B5EF4-FFF2-40B4-BE49-F238E27FC236}">
                  <a16:creationId xmlns:a16="http://schemas.microsoft.com/office/drawing/2014/main" id="{00000000-0008-0000-0600-000087000000}"/>
                </a:ext>
              </a:extLst>
            </xdr:cNvPr>
            <xdr:cNvSpPr/>
          </xdr:nvSpPr>
          <xdr:spPr>
            <a:xfrm>
              <a:off x="5832359" y="9372790"/>
              <a:ext cx="1440935" cy="2370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 F</a:t>
              </a:r>
            </a:p>
          </xdr:txBody>
        </xdr:sp>
        <xdr:sp macro="" textlink="">
          <xdr:nvSpPr>
            <xdr:cNvPr id="136" name="Retângulo 135">
              <a:extLst>
                <a:ext uri="{FF2B5EF4-FFF2-40B4-BE49-F238E27FC236}">
                  <a16:creationId xmlns:a16="http://schemas.microsoft.com/office/drawing/2014/main" id="{00000000-0008-0000-0600-000088000000}"/>
                </a:ext>
              </a:extLst>
            </xdr:cNvPr>
            <xdr:cNvSpPr/>
          </xdr:nvSpPr>
          <xdr:spPr>
            <a:xfrm>
              <a:off x="6136364" y="10816386"/>
              <a:ext cx="832929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145" name="Agrupar 144">
            <a:extLst>
              <a:ext uri="{FF2B5EF4-FFF2-40B4-BE49-F238E27FC236}">
                <a16:creationId xmlns:a16="http://schemas.microsoft.com/office/drawing/2014/main" id="{00000000-0008-0000-0600-000091000000}"/>
              </a:ext>
            </a:extLst>
          </xdr:cNvPr>
          <xdr:cNvGrpSpPr/>
        </xdr:nvGrpSpPr>
        <xdr:grpSpPr>
          <a:xfrm>
            <a:off x="8191813" y="5808157"/>
            <a:ext cx="1236838" cy="1578606"/>
            <a:chOff x="11312722" y="9629229"/>
            <a:chExt cx="1225153" cy="1588939"/>
          </a:xfrm>
        </xdr:grpSpPr>
        <xdr:pic>
          <xdr:nvPicPr>
            <xdr:cNvPr id="146" name="Imagem 145">
              <a:extLst>
                <a:ext uri="{FF2B5EF4-FFF2-40B4-BE49-F238E27FC236}">
                  <a16:creationId xmlns:a16="http://schemas.microsoft.com/office/drawing/2014/main" id="{00000000-0008-0000-0600-00009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12722" y="9629229"/>
              <a:ext cx="999538" cy="1588939"/>
            </a:xfrm>
            <a:prstGeom prst="rect">
              <a:avLst/>
            </a:prstGeom>
          </xdr:spPr>
        </xdr:pic>
        <xdr:grpSp>
          <xdr:nvGrpSpPr>
            <xdr:cNvPr id="147" name="Agrupar 146">
              <a:extLst>
                <a:ext uri="{FF2B5EF4-FFF2-40B4-BE49-F238E27FC236}">
                  <a16:creationId xmlns:a16="http://schemas.microsoft.com/office/drawing/2014/main" id="{00000000-0008-0000-0600-000093000000}"/>
                </a:ext>
              </a:extLst>
            </xdr:cNvPr>
            <xdr:cNvGrpSpPr/>
          </xdr:nvGrpSpPr>
          <xdr:grpSpPr>
            <a:xfrm>
              <a:off x="11504859" y="9885392"/>
              <a:ext cx="1033016" cy="244149"/>
              <a:chOff x="10012019" y="9769213"/>
              <a:chExt cx="1449429" cy="343937"/>
            </a:xfrm>
          </xdr:grpSpPr>
          <xdr:sp macro="" textlink="LGC!$I$24">
            <xdr:nvSpPr>
              <xdr:cNvPr id="148" name="Retângulo: Cantos Arredondados 147">
                <a:extLst>
                  <a:ext uri="{FF2B5EF4-FFF2-40B4-BE49-F238E27FC236}">
                    <a16:creationId xmlns:a16="http://schemas.microsoft.com/office/drawing/2014/main" id="{00000000-0008-0000-0600-000094000000}"/>
                  </a:ext>
                </a:extLst>
              </xdr:cNvPr>
              <xdr:cNvSpPr/>
            </xdr:nvSpPr>
            <xdr:spPr>
              <a:xfrm>
                <a:off x="10012019" y="9769213"/>
                <a:ext cx="500901" cy="30619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fld id="{D6C62CD8-A2EB-4439-8FC1-858D3A075C1F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ctr"/>
                  <a:t>1,25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LGC!$I$31">
            <xdr:nvSpPr>
              <xdr:cNvPr id="149" name="Retângulo: Cantos Arredondados 148">
                <a:extLst>
                  <a:ext uri="{FF2B5EF4-FFF2-40B4-BE49-F238E27FC236}">
                    <a16:creationId xmlns:a16="http://schemas.microsoft.com/office/drawing/2014/main" id="{00000000-0008-0000-0600-000095000000}"/>
                  </a:ext>
                </a:extLst>
              </xdr:cNvPr>
              <xdr:cNvSpPr/>
            </xdr:nvSpPr>
            <xdr:spPr>
              <a:xfrm>
                <a:off x="10968903" y="9806583"/>
                <a:ext cx="492545" cy="306567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fld id="{FE6B91E4-5561-45EE-B1EF-ED985670684F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l"/>
                  <a:t>15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10</xdr:col>
      <xdr:colOff>229835</xdr:colOff>
      <xdr:row>33</xdr:row>
      <xdr:rowOff>136757</xdr:rowOff>
    </xdr:from>
    <xdr:to>
      <xdr:col>14</xdr:col>
      <xdr:colOff>555298</xdr:colOff>
      <xdr:row>44</xdr:row>
      <xdr:rowOff>187640</xdr:rowOff>
    </xdr:to>
    <xdr:grpSp>
      <xdr:nvGrpSpPr>
        <xdr:cNvPr id="315" name="Agrupar 314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GrpSpPr/>
      </xdr:nvGrpSpPr>
      <xdr:grpSpPr>
        <a:xfrm>
          <a:off x="8246075" y="6552797"/>
          <a:ext cx="3137243" cy="2146383"/>
          <a:chOff x="8009874" y="1743305"/>
          <a:chExt cx="3069840" cy="2134123"/>
        </a:xfrm>
      </xdr:grpSpPr>
      <xdr:grpSp>
        <xdr:nvGrpSpPr>
          <xdr:cNvPr id="137" name="Agrupar 136">
            <a:extLst>
              <a:ext uri="{FF2B5EF4-FFF2-40B4-BE49-F238E27FC236}">
                <a16:creationId xmlns:a16="http://schemas.microsoft.com/office/drawing/2014/main" id="{00000000-0008-0000-0600-000089000000}"/>
              </a:ext>
            </a:extLst>
          </xdr:cNvPr>
          <xdr:cNvGrpSpPr/>
        </xdr:nvGrpSpPr>
        <xdr:grpSpPr>
          <a:xfrm>
            <a:off x="8009874" y="1743305"/>
            <a:ext cx="3042898" cy="2134123"/>
            <a:chOff x="5629042" y="9362031"/>
            <a:chExt cx="1776894" cy="1695026"/>
          </a:xfrm>
        </xdr:grpSpPr>
        <xdr:sp macro="" textlink="">
          <xdr:nvSpPr>
            <xdr:cNvPr id="138" name="Retângulo: Cantos Arredondados 137">
              <a:extLst>
                <a:ext uri="{FF2B5EF4-FFF2-40B4-BE49-F238E27FC236}">
                  <a16:creationId xmlns:a16="http://schemas.microsoft.com/office/drawing/2014/main" id="{00000000-0008-0000-0600-00008A000000}"/>
                </a:ext>
              </a:extLst>
            </xdr:cNvPr>
            <xdr:cNvSpPr/>
          </xdr:nvSpPr>
          <xdr:spPr>
            <a:xfrm>
              <a:off x="5629042" y="9362031"/>
              <a:ext cx="1776894" cy="1682195"/>
            </a:xfrm>
            <a:prstGeom prst="roundRect">
              <a:avLst>
                <a:gd name="adj" fmla="val 8076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39" name="Retângulo 138">
              <a:extLst>
                <a:ext uri="{FF2B5EF4-FFF2-40B4-BE49-F238E27FC236}">
                  <a16:creationId xmlns:a16="http://schemas.microsoft.com/office/drawing/2014/main" id="{00000000-0008-0000-0600-00008B000000}"/>
                </a:ext>
              </a:extLst>
            </xdr:cNvPr>
            <xdr:cNvSpPr/>
          </xdr:nvSpPr>
          <xdr:spPr>
            <a:xfrm>
              <a:off x="5832359" y="9372790"/>
              <a:ext cx="1440936" cy="22874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 B</a:t>
              </a:r>
            </a:p>
          </xdr:txBody>
        </xdr:sp>
        <xdr:sp macro="" textlink="">
          <xdr:nvSpPr>
            <xdr:cNvPr id="140" name="Retângulo 139">
              <a:extLst>
                <a:ext uri="{FF2B5EF4-FFF2-40B4-BE49-F238E27FC236}">
                  <a16:creationId xmlns:a16="http://schemas.microsoft.com/office/drawing/2014/main" id="{00000000-0008-0000-0600-00008C000000}"/>
                </a:ext>
              </a:extLst>
            </xdr:cNvPr>
            <xdr:cNvSpPr/>
          </xdr:nvSpPr>
          <xdr:spPr>
            <a:xfrm>
              <a:off x="6312966" y="10816386"/>
              <a:ext cx="479723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150" name="Agrupar 149">
            <a:extLst>
              <a:ext uri="{FF2B5EF4-FFF2-40B4-BE49-F238E27FC236}">
                <a16:creationId xmlns:a16="http://schemas.microsoft.com/office/drawing/2014/main" id="{00000000-0008-0000-0600-000096000000}"/>
              </a:ext>
            </a:extLst>
          </xdr:cNvPr>
          <xdr:cNvGrpSpPr/>
        </xdr:nvGrpSpPr>
        <xdr:grpSpPr>
          <a:xfrm>
            <a:off x="8211545" y="2098505"/>
            <a:ext cx="2868169" cy="1522514"/>
            <a:chOff x="8320552" y="9690341"/>
            <a:chExt cx="2829482" cy="1478119"/>
          </a:xfrm>
        </xdr:grpSpPr>
        <xdr:pic>
          <xdr:nvPicPr>
            <xdr:cNvPr id="151" name="Imagem 150">
              <a:extLst>
                <a:ext uri="{FF2B5EF4-FFF2-40B4-BE49-F238E27FC236}">
                  <a16:creationId xmlns:a16="http://schemas.microsoft.com/office/drawing/2014/main" id="{00000000-0008-0000-0600-00009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968292" y="9690341"/>
              <a:ext cx="1912096" cy="1478119"/>
            </a:xfrm>
            <a:prstGeom prst="rect">
              <a:avLst/>
            </a:prstGeom>
          </xdr:spPr>
        </xdr:pic>
        <xdr:grpSp>
          <xdr:nvGrpSpPr>
            <xdr:cNvPr id="152" name="Agrupar 151">
              <a:extLst>
                <a:ext uri="{FF2B5EF4-FFF2-40B4-BE49-F238E27FC236}">
                  <a16:creationId xmlns:a16="http://schemas.microsoft.com/office/drawing/2014/main" id="{00000000-0008-0000-0600-000098000000}"/>
                </a:ext>
              </a:extLst>
            </xdr:cNvPr>
            <xdr:cNvGrpSpPr/>
          </xdr:nvGrpSpPr>
          <xdr:grpSpPr>
            <a:xfrm>
              <a:off x="10113766" y="9794046"/>
              <a:ext cx="1036268" cy="938087"/>
              <a:chOff x="10812953" y="11382471"/>
              <a:chExt cx="1347543" cy="1239170"/>
            </a:xfrm>
          </xdr:grpSpPr>
          <xdr:sp macro="" textlink="LGC!$I$48">
            <xdr:nvSpPr>
              <xdr:cNvPr id="161" name="Retângulo: Cantos Arredondados 160">
                <a:extLst>
                  <a:ext uri="{FF2B5EF4-FFF2-40B4-BE49-F238E27FC236}">
                    <a16:creationId xmlns:a16="http://schemas.microsoft.com/office/drawing/2014/main" id="{00000000-0008-0000-0600-0000A1000000}"/>
                  </a:ext>
                </a:extLst>
              </xdr:cNvPr>
              <xdr:cNvSpPr/>
            </xdr:nvSpPr>
            <xdr:spPr>
              <a:xfrm>
                <a:off x="10812953" y="11382471"/>
                <a:ext cx="500899" cy="28688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fld id="{1309D803-D368-467D-ABAA-10CCE646D50D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ctr"/>
                  <a:t>1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">
            <xdr:nvSpPr>
              <xdr:cNvPr id="162" name="Retângulo: Cantos Arredondados 161">
                <a:extLst>
                  <a:ext uri="{FF2B5EF4-FFF2-40B4-BE49-F238E27FC236}">
                    <a16:creationId xmlns:a16="http://schemas.microsoft.com/office/drawing/2014/main" id="{00000000-0008-0000-0600-0000A2000000}"/>
                  </a:ext>
                </a:extLst>
              </xdr:cNvPr>
              <xdr:cNvSpPr/>
            </xdr:nvSpPr>
            <xdr:spPr>
              <a:xfrm>
                <a:off x="11647445" y="12343598"/>
                <a:ext cx="513051" cy="278043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pt-BR" sz="100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8</a:t>
                </a:r>
              </a:p>
            </xdr:txBody>
          </xdr:sp>
        </xdr:grpSp>
        <xdr:grpSp>
          <xdr:nvGrpSpPr>
            <xdr:cNvPr id="153" name="Agrupar 152">
              <a:extLst>
                <a:ext uri="{FF2B5EF4-FFF2-40B4-BE49-F238E27FC236}">
                  <a16:creationId xmlns:a16="http://schemas.microsoft.com/office/drawing/2014/main" id="{00000000-0008-0000-0600-000099000000}"/>
                </a:ext>
              </a:extLst>
            </xdr:cNvPr>
            <xdr:cNvGrpSpPr/>
          </xdr:nvGrpSpPr>
          <xdr:grpSpPr>
            <a:xfrm>
              <a:off x="8320552" y="10147611"/>
              <a:ext cx="1144987" cy="759642"/>
              <a:chOff x="1870870" y="2170027"/>
              <a:chExt cx="4338247" cy="2864886"/>
            </a:xfrm>
          </xdr:grpSpPr>
          <xdr:grpSp>
            <xdr:nvGrpSpPr>
              <xdr:cNvPr id="154" name="Agrupar 153">
                <a:extLst>
                  <a:ext uri="{FF2B5EF4-FFF2-40B4-BE49-F238E27FC236}">
                    <a16:creationId xmlns:a16="http://schemas.microsoft.com/office/drawing/2014/main" id="{00000000-0008-0000-0600-00009A000000}"/>
                  </a:ext>
                </a:extLst>
              </xdr:cNvPr>
              <xdr:cNvGrpSpPr/>
            </xdr:nvGrpSpPr>
            <xdr:grpSpPr>
              <a:xfrm>
                <a:off x="4221020" y="2863871"/>
                <a:ext cx="1988097" cy="738602"/>
                <a:chOff x="4221020" y="2863871"/>
                <a:chExt cx="1988097" cy="738602"/>
              </a:xfrm>
            </xdr:grpSpPr>
            <xdr:cxnSp macro="">
              <xdr:nvCxnSpPr>
                <xdr:cNvPr id="159" name="Conector reto 158">
                  <a:extLst>
                    <a:ext uri="{FF2B5EF4-FFF2-40B4-BE49-F238E27FC236}">
                      <a16:creationId xmlns:a16="http://schemas.microsoft.com/office/drawing/2014/main" id="{00000000-0008-0000-0600-00009F000000}"/>
                    </a:ext>
                  </a:extLst>
                </xdr:cNvPr>
                <xdr:cNvCxnSpPr>
                  <a:cxnSpLocks/>
                  <a:stCxn id="160" idx="2"/>
                  <a:endCxn id="156" idx="3"/>
                </xdr:cNvCxnSpPr>
              </xdr:nvCxnSpPr>
              <xdr:spPr>
                <a:xfrm flipH="1">
                  <a:off x="4221020" y="3042209"/>
                  <a:ext cx="1631425" cy="560264"/>
                </a:xfrm>
                <a:prstGeom prst="line">
                  <a:avLst/>
                </a:prstGeom>
                <a:ln w="28575" cap="rnd">
                  <a:solidFill>
                    <a:srgbClr val="FD3F0B"/>
                  </a:solidFill>
                  <a:round/>
                </a:ln>
                <a:effectLst/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60" name="Elipse 159">
                  <a:extLst>
                    <a:ext uri="{FF2B5EF4-FFF2-40B4-BE49-F238E27FC236}">
                      <a16:creationId xmlns:a16="http://schemas.microsoft.com/office/drawing/2014/main" id="{00000000-0008-0000-0600-0000A0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852445" y="2863871"/>
                  <a:ext cx="356672" cy="356668"/>
                </a:xfrm>
                <a:prstGeom prst="ellipse">
                  <a:avLst/>
                </a:prstGeom>
                <a:solidFill>
                  <a:srgbClr val="FD3F0B"/>
                </a:solidFill>
                <a:ln w="3810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 sz="500"/>
                </a:p>
              </xdr:txBody>
            </xdr:sp>
          </xdr:grpSp>
          <xdr:grpSp>
            <xdr:nvGrpSpPr>
              <xdr:cNvPr id="155" name="Agrupar 154">
                <a:extLst>
                  <a:ext uri="{FF2B5EF4-FFF2-40B4-BE49-F238E27FC236}">
                    <a16:creationId xmlns:a16="http://schemas.microsoft.com/office/drawing/2014/main" id="{00000000-0008-0000-0600-00009B000000}"/>
                  </a:ext>
                </a:extLst>
              </xdr:cNvPr>
              <xdr:cNvGrpSpPr/>
            </xdr:nvGrpSpPr>
            <xdr:grpSpPr>
              <a:xfrm>
                <a:off x="1870870" y="2170027"/>
                <a:ext cx="2350148" cy="2864886"/>
                <a:chOff x="801286" y="2161843"/>
                <a:chExt cx="2359085" cy="2864886"/>
              </a:xfrm>
              <a:solidFill>
                <a:srgbClr val="16191C"/>
              </a:solidFill>
            </xdr:grpSpPr>
            <xdr:sp macro="" textlink="">
              <xdr:nvSpPr>
                <xdr:cNvPr id="156" name="Retângulo: Cantos Arredondados 155">
                  <a:extLst>
                    <a:ext uri="{FF2B5EF4-FFF2-40B4-BE49-F238E27FC236}">
                      <a16:creationId xmlns:a16="http://schemas.microsoft.com/office/drawing/2014/main" id="{00000000-0008-0000-0600-00009C000000}"/>
                    </a:ext>
                  </a:extLst>
                </xdr:cNvPr>
                <xdr:cNvSpPr/>
              </xdr:nvSpPr>
              <xdr:spPr>
                <a:xfrm>
                  <a:off x="801286" y="2161843"/>
                  <a:ext cx="2359085" cy="2864886"/>
                </a:xfrm>
                <a:prstGeom prst="roundRect">
                  <a:avLst>
                    <a:gd name="adj" fmla="val 11708"/>
                  </a:avLst>
                </a:prstGeom>
                <a:gradFill flip="none" rotWithShape="1">
                  <a:gsLst>
                    <a:gs pos="100000">
                      <a:srgbClr val="FD3F0B"/>
                    </a:gs>
                    <a:gs pos="0">
                      <a:srgbClr val="FF2929"/>
                    </a:gs>
                  </a:gsLst>
                  <a:lin ang="18900000" scaled="1"/>
                  <a:tileRect/>
                </a:gradFill>
                <a:ln w="1905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0" rIns="0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  <a:p>
                  <a:pPr algn="ctr"/>
                  <a:r>
                    <a:rPr lang="pt-BR" sz="600" b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CH 50 x 6 </a:t>
                  </a:r>
                </a:p>
                <a:p>
                  <a:pPr algn="ctr"/>
                  <a:r>
                    <a:rPr lang="pt-BR" sz="600" b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(2" x 1/4") </a:t>
                  </a:r>
                </a:p>
                <a:p>
                  <a:pPr algn="ctr"/>
                  <a:endPara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  <a:p>
                  <a:pPr algn="ctr"/>
                  <a:endParaRPr lang="pt-BR" sz="600" b="0" baseline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  <a:p>
                  <a:pPr algn="ctr"/>
                  <a:r>
                    <a:rPr lang="el-GR" sz="600" b="0" baseline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Φ</a:t>
                  </a:r>
                  <a:r>
                    <a:rPr lang="pt-BR" sz="600" b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 1/2" M12'</a:t>
                  </a:r>
                </a:p>
              </xdr:txBody>
            </xdr:sp>
            <xdr:sp macro="" textlink="">
              <xdr:nvSpPr>
                <xdr:cNvPr id="157" name="Retângulo: Cantos Arredondados 156">
                  <a:extLst>
                    <a:ext uri="{FF2B5EF4-FFF2-40B4-BE49-F238E27FC236}">
                      <a16:creationId xmlns:a16="http://schemas.microsoft.com/office/drawing/2014/main" id="{00000000-0008-0000-0600-00009D000000}"/>
                    </a:ext>
                  </a:extLst>
                </xdr:cNvPr>
                <xdr:cNvSpPr/>
              </xdr:nvSpPr>
              <xdr:spPr>
                <a:xfrm>
                  <a:off x="1253433" y="2282285"/>
                  <a:ext cx="1454798" cy="562276"/>
                </a:xfrm>
                <a:prstGeom prst="roundRect">
                  <a:avLst>
                    <a:gd name="adj" fmla="val 25437"/>
                  </a:avLst>
                </a:prstGeom>
                <a:solidFill>
                  <a:schemeClr val="bg1"/>
                </a:solidFill>
                <a:ln w="3810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0" rIns="0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t-BR" sz="700" b="0">
                      <a:solidFill>
                        <a:srgbClr val="FD3F0B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Estribo</a:t>
                  </a:r>
                </a:p>
              </xdr:txBody>
            </xdr:sp>
            <xdr:sp macro="" textlink="">
              <xdr:nvSpPr>
                <xdr:cNvPr id="158" name="Retângulo: Cantos Arredondados 157">
                  <a:extLst>
                    <a:ext uri="{FF2B5EF4-FFF2-40B4-BE49-F238E27FC236}">
                      <a16:creationId xmlns:a16="http://schemas.microsoft.com/office/drawing/2014/main" id="{00000000-0008-0000-0600-00009E000000}"/>
                    </a:ext>
                  </a:extLst>
                </xdr:cNvPr>
                <xdr:cNvSpPr/>
              </xdr:nvSpPr>
              <xdr:spPr>
                <a:xfrm>
                  <a:off x="916262" y="3733587"/>
                  <a:ext cx="2129126" cy="562276"/>
                </a:xfrm>
                <a:prstGeom prst="roundRect">
                  <a:avLst>
                    <a:gd name="adj" fmla="val 30350"/>
                  </a:avLst>
                </a:prstGeom>
                <a:solidFill>
                  <a:schemeClr val="bg1"/>
                </a:solidFill>
                <a:ln w="3810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0" rIns="0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t-BR" sz="700" b="0">
                      <a:solidFill>
                        <a:srgbClr val="FD3F0B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4 Parafusos</a:t>
                  </a:r>
                </a:p>
              </xdr:txBody>
            </xdr:sp>
          </xdr:grpSp>
        </xdr:grpSp>
      </xdr:grpSp>
    </xdr:grpSp>
    <xdr:clientData/>
  </xdr:twoCellAnchor>
  <xdr:twoCellAnchor>
    <xdr:from>
      <xdr:col>4</xdr:col>
      <xdr:colOff>209925</xdr:colOff>
      <xdr:row>33</xdr:row>
      <xdr:rowOff>136757</xdr:rowOff>
    </xdr:from>
    <xdr:to>
      <xdr:col>5</xdr:col>
      <xdr:colOff>685184</xdr:colOff>
      <xdr:row>44</xdr:row>
      <xdr:rowOff>120976</xdr:rowOff>
    </xdr:to>
    <xdr:grpSp>
      <xdr:nvGrpSpPr>
        <xdr:cNvPr id="314" name="Agrupar 313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GrpSpPr/>
      </xdr:nvGrpSpPr>
      <xdr:grpSpPr>
        <a:xfrm>
          <a:off x="4187565" y="6552797"/>
          <a:ext cx="1663979" cy="2079719"/>
          <a:chOff x="4066890" y="6653366"/>
          <a:chExt cx="1625842" cy="2058971"/>
        </a:xfrm>
      </xdr:grpSpPr>
      <xdr:grpSp>
        <xdr:nvGrpSpPr>
          <xdr:cNvPr id="141" name="Agrupar 140">
            <a:extLst>
              <a:ext uri="{FF2B5EF4-FFF2-40B4-BE49-F238E27FC236}">
                <a16:creationId xmlns:a16="http://schemas.microsoft.com/office/drawing/2014/main" id="{00000000-0008-0000-0600-00008D000000}"/>
              </a:ext>
            </a:extLst>
          </xdr:cNvPr>
          <xdr:cNvGrpSpPr/>
        </xdr:nvGrpSpPr>
        <xdr:grpSpPr>
          <a:xfrm>
            <a:off x="4066890" y="6653366"/>
            <a:ext cx="1563233" cy="2058971"/>
            <a:chOff x="5629045" y="9362023"/>
            <a:chExt cx="1847572" cy="1695034"/>
          </a:xfrm>
        </xdr:grpSpPr>
        <xdr:sp macro="" textlink="">
          <xdr:nvSpPr>
            <xdr:cNvPr id="142" name="Retângulo: Cantos Arredondados 141">
              <a:extLst>
                <a:ext uri="{FF2B5EF4-FFF2-40B4-BE49-F238E27FC236}">
                  <a16:creationId xmlns:a16="http://schemas.microsoft.com/office/drawing/2014/main" id="{00000000-0008-0000-0600-00008E000000}"/>
                </a:ext>
              </a:extLst>
            </xdr:cNvPr>
            <xdr:cNvSpPr/>
          </xdr:nvSpPr>
          <xdr:spPr>
            <a:xfrm>
              <a:off x="5629045" y="9362023"/>
              <a:ext cx="1847572" cy="1682194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43" name="Retângulo 142">
              <a:extLst>
                <a:ext uri="{FF2B5EF4-FFF2-40B4-BE49-F238E27FC236}">
                  <a16:creationId xmlns:a16="http://schemas.microsoft.com/office/drawing/2014/main" id="{00000000-0008-0000-0600-00008F000000}"/>
                </a:ext>
              </a:extLst>
            </xdr:cNvPr>
            <xdr:cNvSpPr/>
          </xdr:nvSpPr>
          <xdr:spPr>
            <a:xfrm>
              <a:off x="5832362" y="9372785"/>
              <a:ext cx="1440937" cy="2370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Nós D e E</a:t>
              </a:r>
            </a:p>
          </xdr:txBody>
        </xdr:sp>
        <xdr:sp macro="" textlink="">
          <xdr:nvSpPr>
            <xdr:cNvPr id="144" name="Retângulo 143">
              <a:extLst>
                <a:ext uri="{FF2B5EF4-FFF2-40B4-BE49-F238E27FC236}">
                  <a16:creationId xmlns:a16="http://schemas.microsoft.com/office/drawing/2014/main" id="{00000000-0008-0000-0600-000090000000}"/>
                </a:ext>
              </a:extLst>
            </xdr:cNvPr>
            <xdr:cNvSpPr/>
          </xdr:nvSpPr>
          <xdr:spPr>
            <a:xfrm>
              <a:off x="6009326" y="10816386"/>
              <a:ext cx="1087004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163" name="Agrupar 162">
            <a:extLst>
              <a:ext uri="{FF2B5EF4-FFF2-40B4-BE49-F238E27FC236}">
                <a16:creationId xmlns:a16="http://schemas.microsoft.com/office/drawing/2014/main" id="{00000000-0008-0000-0600-0000A3000000}"/>
              </a:ext>
            </a:extLst>
          </xdr:cNvPr>
          <xdr:cNvGrpSpPr/>
        </xdr:nvGrpSpPr>
        <xdr:grpSpPr>
          <a:xfrm>
            <a:off x="4219469" y="7192611"/>
            <a:ext cx="1473263" cy="1075787"/>
            <a:chOff x="6883067" y="9825781"/>
            <a:chExt cx="1461831" cy="1079999"/>
          </a:xfrm>
        </xdr:grpSpPr>
        <xdr:pic>
          <xdr:nvPicPr>
            <xdr:cNvPr id="164" name="Imagem 163">
              <a:extLst>
                <a:ext uri="{FF2B5EF4-FFF2-40B4-BE49-F238E27FC236}">
                  <a16:creationId xmlns:a16="http://schemas.microsoft.com/office/drawing/2014/main" id="{00000000-0008-0000-0600-0000A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883067" y="9825781"/>
              <a:ext cx="1206439" cy="1079999"/>
            </a:xfrm>
            <a:prstGeom prst="rect">
              <a:avLst/>
            </a:prstGeom>
          </xdr:spPr>
        </xdr:pic>
        <xdr:sp macro="" textlink="LGC!C48">
          <xdr:nvSpPr>
            <xdr:cNvPr id="165" name="Retângulo: Cantos Arredondados 164">
              <a:extLst>
                <a:ext uri="{FF2B5EF4-FFF2-40B4-BE49-F238E27FC236}">
                  <a16:creationId xmlns:a16="http://schemas.microsoft.com/office/drawing/2014/main" id="{00000000-0008-0000-0600-0000A5000000}"/>
                </a:ext>
              </a:extLst>
            </xdr:cNvPr>
            <xdr:cNvSpPr/>
          </xdr:nvSpPr>
          <xdr:spPr>
            <a:xfrm>
              <a:off x="7974631" y="9951641"/>
              <a:ext cx="370267" cy="216706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fld id="{731122F9-ED28-476B-8007-F7C025BD5179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l"/>
                <a:t>1,5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</xdr:grpSp>
    <xdr:clientData/>
  </xdr:twoCellAnchor>
  <xdr:twoCellAnchor>
    <xdr:from>
      <xdr:col>4</xdr:col>
      <xdr:colOff>5157</xdr:colOff>
      <xdr:row>9</xdr:row>
      <xdr:rowOff>130751</xdr:rowOff>
    </xdr:from>
    <xdr:to>
      <xdr:col>5</xdr:col>
      <xdr:colOff>641288</xdr:colOff>
      <xdr:row>20</xdr:row>
      <xdr:rowOff>86385</xdr:rowOff>
    </xdr:to>
    <xdr:grpSp>
      <xdr:nvGrpSpPr>
        <xdr:cNvPr id="313" name="Agrupar 312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GrpSpPr/>
      </xdr:nvGrpSpPr>
      <xdr:grpSpPr>
        <a:xfrm>
          <a:off x="3982797" y="1951931"/>
          <a:ext cx="1824851" cy="2051134"/>
          <a:chOff x="3881217" y="1743305"/>
          <a:chExt cx="1786630" cy="2134124"/>
        </a:xfrm>
      </xdr:grpSpPr>
      <xdr:grpSp>
        <xdr:nvGrpSpPr>
          <xdr:cNvPr id="129" name="Agrupar 128">
            <a:extLst>
              <a:ext uri="{FF2B5EF4-FFF2-40B4-BE49-F238E27FC236}">
                <a16:creationId xmlns:a16="http://schemas.microsoft.com/office/drawing/2014/main" id="{00000000-0008-0000-0600-000081000000}"/>
              </a:ext>
            </a:extLst>
          </xdr:cNvPr>
          <xdr:cNvGrpSpPr/>
        </xdr:nvGrpSpPr>
        <xdr:grpSpPr>
          <a:xfrm>
            <a:off x="4086405" y="1743305"/>
            <a:ext cx="1581442" cy="2134124"/>
            <a:chOff x="5629042" y="9362031"/>
            <a:chExt cx="1847571" cy="1695026"/>
          </a:xfrm>
        </xdr:grpSpPr>
        <xdr:sp macro="" textlink="">
          <xdr:nvSpPr>
            <xdr:cNvPr id="130" name="Retângulo: Cantos Arredondados 129">
              <a:extLst>
                <a:ext uri="{FF2B5EF4-FFF2-40B4-BE49-F238E27FC236}">
                  <a16:creationId xmlns:a16="http://schemas.microsoft.com/office/drawing/2014/main" id="{00000000-0008-0000-0600-000082000000}"/>
                </a:ext>
              </a:extLst>
            </xdr:cNvPr>
            <xdr:cNvSpPr/>
          </xdr:nvSpPr>
          <xdr:spPr>
            <a:xfrm>
              <a:off x="5629042" y="9362031"/>
              <a:ext cx="1847571" cy="1682195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31" name="Retângulo 130">
              <a:extLst>
                <a:ext uri="{FF2B5EF4-FFF2-40B4-BE49-F238E27FC236}">
                  <a16:creationId xmlns:a16="http://schemas.microsoft.com/office/drawing/2014/main" id="{00000000-0008-0000-0600-000083000000}"/>
                </a:ext>
              </a:extLst>
            </xdr:cNvPr>
            <xdr:cNvSpPr/>
          </xdr:nvSpPr>
          <xdr:spPr>
            <a:xfrm>
              <a:off x="5832359" y="9372790"/>
              <a:ext cx="1440936" cy="22874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Nós A e C</a:t>
              </a:r>
            </a:p>
          </xdr:txBody>
        </xdr:sp>
        <xdr:sp macro="" textlink="">
          <xdr:nvSpPr>
            <xdr:cNvPr id="132" name="Retângulo 131">
              <a:extLst>
                <a:ext uri="{FF2B5EF4-FFF2-40B4-BE49-F238E27FC236}">
                  <a16:creationId xmlns:a16="http://schemas.microsoft.com/office/drawing/2014/main" id="{00000000-0008-0000-0600-000084000000}"/>
                </a:ext>
              </a:extLst>
            </xdr:cNvPr>
            <xdr:cNvSpPr/>
          </xdr:nvSpPr>
          <xdr:spPr>
            <a:xfrm>
              <a:off x="5984304" y="10816386"/>
              <a:ext cx="1137048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166" name="Agrupar 165">
            <a:extLst>
              <a:ext uri="{FF2B5EF4-FFF2-40B4-BE49-F238E27FC236}">
                <a16:creationId xmlns:a16="http://schemas.microsoft.com/office/drawing/2014/main" id="{00000000-0008-0000-0600-0000A6000000}"/>
              </a:ext>
            </a:extLst>
          </xdr:cNvPr>
          <xdr:cNvGrpSpPr/>
        </xdr:nvGrpSpPr>
        <xdr:grpSpPr>
          <a:xfrm>
            <a:off x="3881217" y="2345959"/>
            <a:ext cx="1617315" cy="1027605"/>
            <a:chOff x="5132250" y="9850856"/>
            <a:chExt cx="1606185" cy="994776"/>
          </a:xfrm>
        </xdr:grpSpPr>
        <xdr:pic>
          <xdr:nvPicPr>
            <xdr:cNvPr id="167" name="Imagem 166">
              <a:extLst>
                <a:ext uri="{FF2B5EF4-FFF2-40B4-BE49-F238E27FC236}">
                  <a16:creationId xmlns:a16="http://schemas.microsoft.com/office/drawing/2014/main" id="{00000000-0008-0000-0600-0000A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5484397" y="9850856"/>
              <a:ext cx="1254038" cy="994776"/>
            </a:xfrm>
            <a:prstGeom prst="rect">
              <a:avLst/>
            </a:prstGeom>
          </xdr:spPr>
        </xdr:pic>
        <xdr:grpSp>
          <xdr:nvGrpSpPr>
            <xdr:cNvPr id="168" name="Agrupar 167">
              <a:extLst>
                <a:ext uri="{FF2B5EF4-FFF2-40B4-BE49-F238E27FC236}">
                  <a16:creationId xmlns:a16="http://schemas.microsoft.com/office/drawing/2014/main" id="{00000000-0008-0000-0600-0000A8000000}"/>
                </a:ext>
              </a:extLst>
            </xdr:cNvPr>
            <xdr:cNvGrpSpPr/>
          </xdr:nvGrpSpPr>
          <xdr:grpSpPr>
            <a:xfrm>
              <a:off x="5132250" y="10038940"/>
              <a:ext cx="843990" cy="507896"/>
              <a:chOff x="4377799" y="9748132"/>
              <a:chExt cx="1145116" cy="690400"/>
            </a:xfrm>
          </xdr:grpSpPr>
          <xdr:sp macro="" textlink="LGC!$C$31">
            <xdr:nvSpPr>
              <xdr:cNvPr id="169" name="Retângulo: Cantos Arredondados 168">
                <a:extLst>
                  <a:ext uri="{FF2B5EF4-FFF2-40B4-BE49-F238E27FC236}">
                    <a16:creationId xmlns:a16="http://schemas.microsoft.com/office/drawing/2014/main" id="{00000000-0008-0000-0600-0000A9000000}"/>
                  </a:ext>
                </a:extLst>
              </xdr:cNvPr>
              <xdr:cNvSpPr/>
            </xdr:nvSpPr>
            <xdr:spPr>
              <a:xfrm>
                <a:off x="5022017" y="9748132"/>
                <a:ext cx="500898" cy="294558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fld id="{F398EF25-A8E2-497C-B810-30A522751CE8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ctr"/>
                  <a:t>17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LGC!$C$24">
            <xdr:nvSpPr>
              <xdr:cNvPr id="170" name="Retângulo: Cantos Arredondados 169">
                <a:extLst>
                  <a:ext uri="{FF2B5EF4-FFF2-40B4-BE49-F238E27FC236}">
                    <a16:creationId xmlns:a16="http://schemas.microsoft.com/office/drawing/2014/main" id="{00000000-0008-0000-0600-0000AA000000}"/>
                  </a:ext>
                </a:extLst>
              </xdr:cNvPr>
              <xdr:cNvSpPr/>
            </xdr:nvSpPr>
            <xdr:spPr>
              <a:xfrm>
                <a:off x="4377799" y="10153504"/>
                <a:ext cx="511453" cy="285028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E0E4D18A-AF39-4EDA-8CBF-EF143C2170D6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r"/>
                  <a:t>2,5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0</xdr:col>
      <xdr:colOff>1754108</xdr:colOff>
      <xdr:row>8</xdr:row>
      <xdr:rowOff>0</xdr:rowOff>
    </xdr:from>
    <xdr:to>
      <xdr:col>5</xdr:col>
      <xdr:colOff>839330</xdr:colOff>
      <xdr:row>8</xdr:row>
      <xdr:rowOff>201706</xdr:rowOff>
    </xdr:to>
    <xdr:sp macro="" textlink="">
      <xdr:nvSpPr>
        <xdr:cNvPr id="106" name="Retângulo: Cantos Arredondados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/>
      </xdr:nvSpPr>
      <xdr:spPr>
        <a:xfrm>
          <a:off x="1754108" y="1626795"/>
          <a:ext cx="4102351" cy="201706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7</xdr:col>
      <xdr:colOff>0</xdr:colOff>
      <xdr:row>8</xdr:row>
      <xdr:rowOff>0</xdr:rowOff>
    </xdr:from>
    <xdr:to>
      <xdr:col>13</xdr:col>
      <xdr:colOff>9430</xdr:colOff>
      <xdr:row>8</xdr:row>
      <xdr:rowOff>201706</xdr:rowOff>
    </xdr:to>
    <xdr:sp macro="" textlink="">
      <xdr:nvSpPr>
        <xdr:cNvPr id="107" name="Retângulo: Cantos Arredondados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/>
      </xdr:nvSpPr>
      <xdr:spPr>
        <a:xfrm>
          <a:off x="6106374" y="1626795"/>
          <a:ext cx="3748700" cy="201706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0</xdr:col>
      <xdr:colOff>1754108</xdr:colOff>
      <xdr:row>31</xdr:row>
      <xdr:rowOff>198044</xdr:rowOff>
    </xdr:from>
    <xdr:to>
      <xdr:col>5</xdr:col>
      <xdr:colOff>839330</xdr:colOff>
      <xdr:row>32</xdr:row>
      <xdr:rowOff>201706</xdr:rowOff>
    </xdr:to>
    <xdr:sp macro="" textlink="">
      <xdr:nvSpPr>
        <xdr:cNvPr id="108" name="Retângulo: Cantos Arredondados 107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/>
      </xdr:nvSpPr>
      <xdr:spPr>
        <a:xfrm>
          <a:off x="1754108" y="6549616"/>
          <a:ext cx="4102351" cy="201706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6</xdr:col>
      <xdr:colOff>249913</xdr:colOff>
      <xdr:row>31</xdr:row>
      <xdr:rowOff>198044</xdr:rowOff>
    </xdr:from>
    <xdr:to>
      <xdr:col>14</xdr:col>
      <xdr:colOff>773316</xdr:colOff>
      <xdr:row>32</xdr:row>
      <xdr:rowOff>201706</xdr:rowOff>
    </xdr:to>
    <xdr:sp macro="" textlink="">
      <xdr:nvSpPr>
        <xdr:cNvPr id="109" name="Retângulo: Cantos Arredondados 108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/>
      </xdr:nvSpPr>
      <xdr:spPr>
        <a:xfrm>
          <a:off x="6106373" y="6549616"/>
          <a:ext cx="5186881" cy="201706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22</xdr:col>
      <xdr:colOff>0</xdr:colOff>
      <xdr:row>2</xdr:row>
      <xdr:rowOff>123477</xdr:rowOff>
    </xdr:to>
    <xdr:grpSp>
      <xdr:nvGrpSpPr>
        <xdr:cNvPr id="110" name="Agrupar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GrpSpPr/>
      </xdr:nvGrpSpPr>
      <xdr:grpSpPr>
        <a:xfrm>
          <a:off x="0" y="0"/>
          <a:ext cx="16116300" cy="451137"/>
          <a:chOff x="0" y="0"/>
          <a:chExt cx="15678150" cy="456852"/>
        </a:xfrm>
      </xdr:grpSpPr>
      <xdr:sp macro="" textlink="">
        <xdr:nvSpPr>
          <xdr:cNvPr id="111" name="Retângulo 110">
            <a:extLst>
              <a:ext uri="{FF2B5EF4-FFF2-40B4-BE49-F238E27FC236}">
                <a16:creationId xmlns:a16="http://schemas.microsoft.com/office/drawing/2014/main" id="{00000000-0008-0000-0600-00006F000000}"/>
              </a:ext>
            </a:extLst>
          </xdr:cNvPr>
          <xdr:cNvSpPr/>
        </xdr:nvSpPr>
        <xdr:spPr>
          <a:xfrm>
            <a:off x="0" y="0"/>
            <a:ext cx="15678150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12" name="Retângulo: Cantos Arredondados 111">
            <a:extLst>
              <a:ext uri="{FF2B5EF4-FFF2-40B4-BE49-F238E27FC236}">
                <a16:creationId xmlns:a16="http://schemas.microsoft.com/office/drawing/2014/main" id="{00000000-0008-0000-0600-000070000000}"/>
              </a:ext>
            </a:extLst>
          </xdr:cNvPr>
          <xdr:cNvSpPr/>
        </xdr:nvSpPr>
        <xdr:spPr>
          <a:xfrm>
            <a:off x="3333041" y="126568"/>
            <a:ext cx="45919" cy="243680"/>
          </a:xfrm>
          <a:prstGeom prst="roundRect">
            <a:avLst>
              <a:gd name="adj" fmla="val 50000"/>
            </a:avLst>
          </a:prstGeom>
          <a:solidFill>
            <a:schemeClr val="tx1">
              <a:alpha val="2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rIns="0" bIns="72000" rtlCol="0" anchor="ctr"/>
          <a:lstStyle/>
          <a:p>
            <a:pPr marL="0" indent="0" algn="ctr"/>
            <a:endParaRPr lang="pt-BR" sz="1100">
              <a:solidFill>
                <a:schemeClr val="lt1"/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grpSp>
        <xdr:nvGrpSpPr>
          <xdr:cNvPr id="113" name="Agrupar 112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600-000071000000}"/>
              </a:ext>
            </a:extLst>
          </xdr:cNvPr>
          <xdr:cNvGrpSpPr/>
        </xdr:nvGrpSpPr>
        <xdr:grpSpPr>
          <a:xfrm>
            <a:off x="5252438" y="123825"/>
            <a:ext cx="1165435" cy="243701"/>
            <a:chOff x="3341571" y="88944"/>
            <a:chExt cx="1169375" cy="243701"/>
          </a:xfrm>
        </xdr:grpSpPr>
        <xdr:sp macro="" textlink="">
          <xdr:nvSpPr>
            <xdr:cNvPr id="182" name="Retângulo: Cantos Arredondados 181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00000000-0008-0000-0600-0000B6000000}"/>
                </a:ext>
              </a:extLst>
            </xdr:cNvPr>
            <xdr:cNvSpPr/>
          </xdr:nvSpPr>
          <xdr:spPr>
            <a:xfrm>
              <a:off x="3341571" y="88944"/>
              <a:ext cx="1169375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algn="ctr"/>
              <a:r>
                <a:rPr lang="pt-BR" sz="110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Resistência</a:t>
              </a:r>
              <a:r>
                <a:rPr lang="pt-BR" sz="1100" baseline="0">
                  <a:latin typeface="Segoe UI Semibold" panose="020B0702040204020203" pitchFamily="34" charset="0"/>
                  <a:cs typeface="Segoe UI Semibold" panose="020B0702040204020203" pitchFamily="34" charset="0"/>
                </a:rPr>
                <a:t> </a:t>
              </a:r>
              <a:endParaRPr lang="pt-BR" sz="1100"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83" name="Forma Livre: Forma 182">
              <a:extLst>
                <a:ext uri="{FF2B5EF4-FFF2-40B4-BE49-F238E27FC236}">
                  <a16:creationId xmlns:a16="http://schemas.microsoft.com/office/drawing/2014/main" id="{00000000-0008-0000-0600-0000B7000000}"/>
                </a:ext>
              </a:extLst>
            </xdr:cNvPr>
            <xdr:cNvSpPr>
              <a:spLocks noChangeAspect="1"/>
            </xdr:cNvSpPr>
          </xdr:nvSpPr>
          <xdr:spPr>
            <a:xfrm>
              <a:off x="3386968" y="120794"/>
              <a:ext cx="152261" cy="180000"/>
            </a:xfrm>
            <a:custGeom>
              <a:avLst/>
              <a:gdLst>
                <a:gd name="connsiteX0" fmla="*/ 2054694 w 2887985"/>
                <a:gd name="connsiteY0" fmla="*/ 1117429 h 3390900"/>
                <a:gd name="connsiteX1" fmla="*/ 2229809 w 2887985"/>
                <a:gd name="connsiteY1" fmla="*/ 1292544 h 3390900"/>
                <a:gd name="connsiteX2" fmla="*/ 1180556 w 2887985"/>
                <a:gd name="connsiteY2" fmla="*/ 2341796 h 3390900"/>
                <a:gd name="connsiteX3" fmla="*/ 640894 w 2887985"/>
                <a:gd name="connsiteY3" fmla="*/ 1802134 h 3390900"/>
                <a:gd name="connsiteX4" fmla="*/ 816009 w 2887985"/>
                <a:gd name="connsiteY4" fmla="*/ 1627019 h 3390900"/>
                <a:gd name="connsiteX5" fmla="*/ 1180556 w 2887985"/>
                <a:gd name="connsiteY5" fmla="*/ 1991566 h 3390900"/>
                <a:gd name="connsiteX6" fmla="*/ 1447238 w 2887985"/>
                <a:gd name="connsiteY6" fmla="*/ 252005 h 3390900"/>
                <a:gd name="connsiteX7" fmla="*/ 221121 w 2887985"/>
                <a:gd name="connsiteY7" fmla="*/ 673686 h 3390900"/>
                <a:gd name="connsiteX8" fmla="*/ 214633 w 2887985"/>
                <a:gd name="connsiteY8" fmla="*/ 1854391 h 3390900"/>
                <a:gd name="connsiteX9" fmla="*/ 1434263 w 2887985"/>
                <a:gd name="connsiteY9" fmla="*/ 3138895 h 3390900"/>
                <a:gd name="connsiteX10" fmla="*/ 2673355 w 2887985"/>
                <a:gd name="connsiteY10" fmla="*/ 1854391 h 3390900"/>
                <a:gd name="connsiteX11" fmla="*/ 2673355 w 2887985"/>
                <a:gd name="connsiteY11" fmla="*/ 686660 h 3390900"/>
                <a:gd name="connsiteX12" fmla="*/ 1447805 w 2887985"/>
                <a:gd name="connsiteY12" fmla="*/ 0 h 3390900"/>
                <a:gd name="connsiteX13" fmla="*/ 2887985 w 2887985"/>
                <a:gd name="connsiteY13" fmla="*/ 510540 h 3390900"/>
                <a:gd name="connsiteX14" fmla="*/ 2887985 w 2887985"/>
                <a:gd name="connsiteY14" fmla="*/ 1882140 h 3390900"/>
                <a:gd name="connsiteX15" fmla="*/ 1432565 w 2887985"/>
                <a:gd name="connsiteY15" fmla="*/ 3390900 h 3390900"/>
                <a:gd name="connsiteX16" fmla="*/ 5 w 2887985"/>
                <a:gd name="connsiteY16" fmla="*/ 1882140 h 3390900"/>
                <a:gd name="connsiteX17" fmla="*/ 7625 w 2887985"/>
                <a:gd name="connsiteY17" fmla="*/ 495300 h 33909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</a:cxnLst>
              <a:rect l="l" t="t" r="r" b="b"/>
              <a:pathLst>
                <a:path w="2887985" h="3390900">
                  <a:moveTo>
                    <a:pt x="2054694" y="1117429"/>
                  </a:moveTo>
                  <a:lnTo>
                    <a:pt x="2229809" y="1292544"/>
                  </a:lnTo>
                  <a:lnTo>
                    <a:pt x="1180556" y="2341796"/>
                  </a:lnTo>
                  <a:lnTo>
                    <a:pt x="640894" y="1802134"/>
                  </a:lnTo>
                  <a:lnTo>
                    <a:pt x="816009" y="1627019"/>
                  </a:lnTo>
                  <a:lnTo>
                    <a:pt x="1180556" y="1991566"/>
                  </a:lnTo>
                  <a:close/>
                  <a:moveTo>
                    <a:pt x="1447238" y="252005"/>
                  </a:moveTo>
                  <a:lnTo>
                    <a:pt x="221121" y="673686"/>
                  </a:lnTo>
                  <a:lnTo>
                    <a:pt x="214633" y="1854391"/>
                  </a:lnTo>
                  <a:cubicBezTo>
                    <a:pt x="212471" y="2723702"/>
                    <a:pt x="1177741" y="3035096"/>
                    <a:pt x="1434263" y="3138895"/>
                  </a:cubicBezTo>
                  <a:cubicBezTo>
                    <a:pt x="1689162" y="3039151"/>
                    <a:pt x="2669030" y="2710727"/>
                    <a:pt x="2673355" y="1854391"/>
                  </a:cubicBezTo>
                  <a:lnTo>
                    <a:pt x="2673355" y="686660"/>
                  </a:lnTo>
                  <a:close/>
                  <a:moveTo>
                    <a:pt x="1447805" y="0"/>
                  </a:moveTo>
                  <a:lnTo>
                    <a:pt x="2887985" y="510540"/>
                  </a:lnTo>
                  <a:lnTo>
                    <a:pt x="2887985" y="1882140"/>
                  </a:lnTo>
                  <a:cubicBezTo>
                    <a:pt x="2882905" y="2887980"/>
                    <a:pt x="1731966" y="3273742"/>
                    <a:pt x="1432565" y="3390900"/>
                  </a:cubicBezTo>
                  <a:cubicBezTo>
                    <a:pt x="1131258" y="3268979"/>
                    <a:pt x="-2535" y="2903220"/>
                    <a:pt x="5" y="1882140"/>
                  </a:cubicBezTo>
                  <a:lnTo>
                    <a:pt x="7625" y="495300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noFill/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4" name="Agrupar 113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0000000-0008-0000-0600-000072000000}"/>
              </a:ext>
            </a:extLst>
          </xdr:cNvPr>
          <xdr:cNvGrpSpPr/>
        </xdr:nvGrpSpPr>
        <xdr:grpSpPr>
          <a:xfrm>
            <a:off x="3901291" y="123825"/>
            <a:ext cx="1105113" cy="243701"/>
            <a:chOff x="3573869" y="104252"/>
            <a:chExt cx="1105394" cy="243701"/>
          </a:xfrm>
        </xdr:grpSpPr>
        <xdr:sp macro="" textlink="">
          <xdr:nvSpPr>
            <xdr:cNvPr id="180" name="Retângulo: Cantos Arredondados 179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600-0000B4000000}"/>
                </a:ext>
              </a:extLst>
            </xdr:cNvPr>
            <xdr:cNvSpPr/>
          </xdr:nvSpPr>
          <xdr:spPr>
            <a:xfrm>
              <a:off x="3573869" y="104252"/>
              <a:ext cx="1105394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Dashboard</a:t>
              </a:r>
            </a:p>
          </xdr:txBody>
        </xdr:sp>
        <xdr:sp macro="" textlink="">
          <xdr:nvSpPr>
            <xdr:cNvPr id="181" name="Forma Livre: Forma 180">
              <a:extLst>
                <a:ext uri="{FF2B5EF4-FFF2-40B4-BE49-F238E27FC236}">
                  <a16:creationId xmlns:a16="http://schemas.microsoft.com/office/drawing/2014/main" id="{00000000-0008-0000-0600-0000B5000000}"/>
                </a:ext>
              </a:extLst>
            </xdr:cNvPr>
            <xdr:cNvSpPr>
              <a:spLocks noChangeAspect="1"/>
            </xdr:cNvSpPr>
          </xdr:nvSpPr>
          <xdr:spPr>
            <a:xfrm>
              <a:off x="3652639" y="154102"/>
              <a:ext cx="142888" cy="144000"/>
            </a:xfrm>
            <a:custGeom>
              <a:avLst/>
              <a:gdLst>
                <a:gd name="connsiteX0" fmla="*/ 175440 w 3076156"/>
                <a:gd name="connsiteY0" fmla="*/ 2044504 h 3097121"/>
                <a:gd name="connsiteX1" fmla="*/ 1120088 w 3076156"/>
                <a:gd name="connsiteY1" fmla="*/ 2044504 h 3097121"/>
                <a:gd name="connsiteX2" fmla="*/ 1295528 w 3076156"/>
                <a:gd name="connsiteY2" fmla="*/ 2219944 h 3097121"/>
                <a:gd name="connsiteX3" fmla="*/ 1295528 w 3076156"/>
                <a:gd name="connsiteY3" fmla="*/ 2921681 h 3097121"/>
                <a:gd name="connsiteX4" fmla="*/ 1120088 w 3076156"/>
                <a:gd name="connsiteY4" fmla="*/ 3097121 h 3097121"/>
                <a:gd name="connsiteX5" fmla="*/ 175440 w 3076156"/>
                <a:gd name="connsiteY5" fmla="*/ 3097121 h 3097121"/>
                <a:gd name="connsiteX6" fmla="*/ 0 w 3076156"/>
                <a:gd name="connsiteY6" fmla="*/ 2921681 h 3097121"/>
                <a:gd name="connsiteX7" fmla="*/ 0 w 3076156"/>
                <a:gd name="connsiteY7" fmla="*/ 2219944 h 3097121"/>
                <a:gd name="connsiteX8" fmla="*/ 175440 w 3076156"/>
                <a:gd name="connsiteY8" fmla="*/ 2044504 h 3097121"/>
                <a:gd name="connsiteX9" fmla="*/ 1996554 w 3076156"/>
                <a:gd name="connsiteY9" fmla="*/ 1543499 h 3097121"/>
                <a:gd name="connsiteX10" fmla="*/ 2860230 w 3076156"/>
                <a:gd name="connsiteY10" fmla="*/ 1543499 h 3097121"/>
                <a:gd name="connsiteX11" fmla="*/ 3076156 w 3076156"/>
                <a:gd name="connsiteY11" fmla="*/ 1759425 h 3097121"/>
                <a:gd name="connsiteX12" fmla="*/ 3076156 w 3076156"/>
                <a:gd name="connsiteY12" fmla="*/ 2881195 h 3097121"/>
                <a:gd name="connsiteX13" fmla="*/ 2860230 w 3076156"/>
                <a:gd name="connsiteY13" fmla="*/ 3097121 h 3097121"/>
                <a:gd name="connsiteX14" fmla="*/ 1996554 w 3076156"/>
                <a:gd name="connsiteY14" fmla="*/ 3097121 h 3097121"/>
                <a:gd name="connsiteX15" fmla="*/ 1780628 w 3076156"/>
                <a:gd name="connsiteY15" fmla="*/ 2881195 h 3097121"/>
                <a:gd name="connsiteX16" fmla="*/ 1780628 w 3076156"/>
                <a:gd name="connsiteY16" fmla="*/ 1759425 h 3097121"/>
                <a:gd name="connsiteX17" fmla="*/ 1996554 w 3076156"/>
                <a:gd name="connsiteY17" fmla="*/ 1543499 h 3097121"/>
                <a:gd name="connsiteX18" fmla="*/ 1956068 w 3076156"/>
                <a:gd name="connsiteY18" fmla="*/ 0 h 3097121"/>
                <a:gd name="connsiteX19" fmla="*/ 2900716 w 3076156"/>
                <a:gd name="connsiteY19" fmla="*/ 0 h 3097121"/>
                <a:gd name="connsiteX20" fmla="*/ 3076156 w 3076156"/>
                <a:gd name="connsiteY20" fmla="*/ 175440 h 3097121"/>
                <a:gd name="connsiteX21" fmla="*/ 3076156 w 3076156"/>
                <a:gd name="connsiteY21" fmla="*/ 877177 h 3097121"/>
                <a:gd name="connsiteX22" fmla="*/ 2900716 w 3076156"/>
                <a:gd name="connsiteY22" fmla="*/ 1052617 h 3097121"/>
                <a:gd name="connsiteX23" fmla="*/ 1956068 w 3076156"/>
                <a:gd name="connsiteY23" fmla="*/ 1052617 h 3097121"/>
                <a:gd name="connsiteX24" fmla="*/ 1780628 w 3076156"/>
                <a:gd name="connsiteY24" fmla="*/ 877177 h 3097121"/>
                <a:gd name="connsiteX25" fmla="*/ 1780628 w 3076156"/>
                <a:gd name="connsiteY25" fmla="*/ 175440 h 3097121"/>
                <a:gd name="connsiteX26" fmla="*/ 1956068 w 3076156"/>
                <a:gd name="connsiteY26" fmla="*/ 0 h 3097121"/>
                <a:gd name="connsiteX27" fmla="*/ 215926 w 3076156"/>
                <a:gd name="connsiteY27" fmla="*/ 0 h 3097121"/>
                <a:gd name="connsiteX28" fmla="*/ 1079602 w 3076156"/>
                <a:gd name="connsiteY28" fmla="*/ 0 h 3097121"/>
                <a:gd name="connsiteX29" fmla="*/ 1295528 w 3076156"/>
                <a:gd name="connsiteY29" fmla="*/ 215926 h 3097121"/>
                <a:gd name="connsiteX30" fmla="*/ 1295528 w 3076156"/>
                <a:gd name="connsiteY30" fmla="*/ 1337696 h 3097121"/>
                <a:gd name="connsiteX31" fmla="*/ 1079602 w 3076156"/>
                <a:gd name="connsiteY31" fmla="*/ 1553622 h 3097121"/>
                <a:gd name="connsiteX32" fmla="*/ 215926 w 3076156"/>
                <a:gd name="connsiteY32" fmla="*/ 1553622 h 3097121"/>
                <a:gd name="connsiteX33" fmla="*/ 0 w 3076156"/>
                <a:gd name="connsiteY33" fmla="*/ 1337696 h 3097121"/>
                <a:gd name="connsiteX34" fmla="*/ 0 w 3076156"/>
                <a:gd name="connsiteY34" fmla="*/ 215926 h 3097121"/>
                <a:gd name="connsiteX35" fmla="*/ 215926 w 3076156"/>
                <a:gd name="connsiteY35" fmla="*/ 0 h 30971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</a:cxnLst>
              <a:rect l="l" t="t" r="r" b="b"/>
              <a:pathLst>
                <a:path w="3076156" h="3097121">
                  <a:moveTo>
                    <a:pt x="175440" y="2044504"/>
                  </a:moveTo>
                  <a:lnTo>
                    <a:pt x="1120088" y="2044504"/>
                  </a:lnTo>
                  <a:cubicBezTo>
                    <a:pt x="1216981" y="2044504"/>
                    <a:pt x="1295528" y="2123051"/>
                    <a:pt x="1295528" y="2219944"/>
                  </a:cubicBezTo>
                  <a:lnTo>
                    <a:pt x="1295528" y="2921681"/>
                  </a:lnTo>
                  <a:cubicBezTo>
                    <a:pt x="1295528" y="3018574"/>
                    <a:pt x="1216981" y="3097121"/>
                    <a:pt x="1120088" y="3097121"/>
                  </a:cubicBezTo>
                  <a:lnTo>
                    <a:pt x="175440" y="3097121"/>
                  </a:lnTo>
                  <a:cubicBezTo>
                    <a:pt x="78547" y="3097121"/>
                    <a:pt x="0" y="3018574"/>
                    <a:pt x="0" y="2921681"/>
                  </a:cubicBezTo>
                  <a:lnTo>
                    <a:pt x="0" y="2219944"/>
                  </a:lnTo>
                  <a:cubicBezTo>
                    <a:pt x="0" y="2123051"/>
                    <a:pt x="78547" y="2044504"/>
                    <a:pt x="175440" y="2044504"/>
                  </a:cubicBezTo>
                  <a:close/>
                  <a:moveTo>
                    <a:pt x="1996554" y="1543499"/>
                  </a:moveTo>
                  <a:lnTo>
                    <a:pt x="2860230" y="1543499"/>
                  </a:lnTo>
                  <a:cubicBezTo>
                    <a:pt x="2979483" y="1543499"/>
                    <a:pt x="3076156" y="1640172"/>
                    <a:pt x="3076156" y="1759425"/>
                  </a:cubicBezTo>
                  <a:lnTo>
                    <a:pt x="3076156" y="2881195"/>
                  </a:lnTo>
                  <a:cubicBezTo>
                    <a:pt x="3076156" y="3000448"/>
                    <a:pt x="2979483" y="3097121"/>
                    <a:pt x="2860230" y="3097121"/>
                  </a:cubicBezTo>
                  <a:lnTo>
                    <a:pt x="1996554" y="3097121"/>
                  </a:lnTo>
                  <a:cubicBezTo>
                    <a:pt x="1877301" y="3097121"/>
                    <a:pt x="1780628" y="3000448"/>
                    <a:pt x="1780628" y="2881195"/>
                  </a:cubicBezTo>
                  <a:lnTo>
                    <a:pt x="1780628" y="1759425"/>
                  </a:lnTo>
                  <a:cubicBezTo>
                    <a:pt x="1780628" y="1640172"/>
                    <a:pt x="1877301" y="1543499"/>
                    <a:pt x="1996554" y="1543499"/>
                  </a:cubicBezTo>
                  <a:close/>
                  <a:moveTo>
                    <a:pt x="1956068" y="0"/>
                  </a:moveTo>
                  <a:lnTo>
                    <a:pt x="2900716" y="0"/>
                  </a:lnTo>
                  <a:cubicBezTo>
                    <a:pt x="2997609" y="0"/>
                    <a:pt x="3076156" y="78547"/>
                    <a:pt x="3076156" y="175440"/>
                  </a:cubicBezTo>
                  <a:lnTo>
                    <a:pt x="3076156" y="877177"/>
                  </a:lnTo>
                  <a:cubicBezTo>
                    <a:pt x="3076156" y="974070"/>
                    <a:pt x="2997609" y="1052617"/>
                    <a:pt x="2900716" y="1052617"/>
                  </a:cubicBezTo>
                  <a:lnTo>
                    <a:pt x="1956068" y="1052617"/>
                  </a:lnTo>
                  <a:cubicBezTo>
                    <a:pt x="1859175" y="1052617"/>
                    <a:pt x="1780628" y="974070"/>
                    <a:pt x="1780628" y="877177"/>
                  </a:cubicBezTo>
                  <a:lnTo>
                    <a:pt x="1780628" y="175440"/>
                  </a:lnTo>
                  <a:cubicBezTo>
                    <a:pt x="1780628" y="78547"/>
                    <a:pt x="1859175" y="0"/>
                    <a:pt x="1956068" y="0"/>
                  </a:cubicBezTo>
                  <a:close/>
                  <a:moveTo>
                    <a:pt x="215926" y="0"/>
                  </a:moveTo>
                  <a:lnTo>
                    <a:pt x="1079602" y="0"/>
                  </a:lnTo>
                  <a:cubicBezTo>
                    <a:pt x="1198855" y="0"/>
                    <a:pt x="1295528" y="96673"/>
                    <a:pt x="1295528" y="215926"/>
                  </a:cubicBezTo>
                  <a:lnTo>
                    <a:pt x="1295528" y="1337696"/>
                  </a:lnTo>
                  <a:cubicBezTo>
                    <a:pt x="1295528" y="1456949"/>
                    <a:pt x="1198855" y="1553622"/>
                    <a:pt x="1079602" y="1553622"/>
                  </a:cubicBezTo>
                  <a:lnTo>
                    <a:pt x="215926" y="1553622"/>
                  </a:lnTo>
                  <a:cubicBezTo>
                    <a:pt x="96673" y="1553622"/>
                    <a:pt x="0" y="1456949"/>
                    <a:pt x="0" y="1337696"/>
                  </a:cubicBezTo>
                  <a:lnTo>
                    <a:pt x="0" y="215926"/>
                  </a:lnTo>
                  <a:cubicBezTo>
                    <a:pt x="0" y="96673"/>
                    <a:pt x="96673" y="0"/>
                    <a:pt x="215926" y="0"/>
                  </a:cubicBezTo>
                  <a:close/>
                </a:path>
              </a:pathLst>
            </a:custGeom>
            <a:solidFill>
              <a:sysClr val="window" lastClr="FFFFFF"/>
            </a:solidFill>
            <a:ln w="952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5" name="Agrupar 114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0000000-0008-0000-0600-000073000000}"/>
              </a:ext>
            </a:extLst>
          </xdr:cNvPr>
          <xdr:cNvGrpSpPr/>
        </xdr:nvGrpSpPr>
        <xdr:grpSpPr>
          <a:xfrm>
            <a:off x="6663907" y="123825"/>
            <a:ext cx="1323538" cy="243701"/>
            <a:chOff x="5650832" y="88944"/>
            <a:chExt cx="1329890" cy="243701"/>
          </a:xfrm>
        </xdr:grpSpPr>
        <xdr:sp macro="" textlink="">
          <xdr:nvSpPr>
            <xdr:cNvPr id="178" name="Retângulo: Cantos Arredondados 177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600-0000B2000000}"/>
                </a:ext>
              </a:extLst>
            </xdr:cNvPr>
            <xdr:cNvSpPr/>
          </xdr:nvSpPr>
          <xdr:spPr>
            <a:xfrm>
              <a:off x="5650832" y="88944"/>
              <a:ext cx="132989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Carregamentos</a:t>
              </a:r>
            </a:p>
          </xdr:txBody>
        </xdr:sp>
        <xdr:sp macro="" textlink="">
          <xdr:nvSpPr>
            <xdr:cNvPr id="179" name="Forma Livre: Forma 178">
              <a:extLst>
                <a:ext uri="{FF2B5EF4-FFF2-40B4-BE49-F238E27FC236}">
                  <a16:creationId xmlns:a16="http://schemas.microsoft.com/office/drawing/2014/main" id="{00000000-0008-0000-0600-0000B3000000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5692742" y="120794"/>
              <a:ext cx="180000" cy="180000"/>
            </a:xfrm>
            <a:custGeom>
              <a:avLst/>
              <a:gdLst>
                <a:gd name="connsiteX0" fmla="*/ 2860562 w 4250871"/>
                <a:gd name="connsiteY0" fmla="*/ 3136711 h 4250873"/>
                <a:gd name="connsiteX1" fmla="*/ 2743390 w 4250871"/>
                <a:gd name="connsiteY1" fmla="*/ 3253883 h 4250873"/>
                <a:gd name="connsiteX2" fmla="*/ 1430254 w 4250871"/>
                <a:gd name="connsiteY2" fmla="*/ 3253883 h 4250873"/>
                <a:gd name="connsiteX3" fmla="*/ 1592348 w 4250871"/>
                <a:gd name="connsiteY3" fmla="*/ 3415977 h 4250873"/>
                <a:gd name="connsiteX4" fmla="*/ 1592348 w 4250871"/>
                <a:gd name="connsiteY4" fmla="*/ 3581683 h 4250873"/>
                <a:gd name="connsiteX5" fmla="*/ 1426642 w 4250871"/>
                <a:gd name="connsiteY5" fmla="*/ 3581683 h 4250873"/>
                <a:gd name="connsiteX6" fmla="*/ 1072656 w 4250871"/>
                <a:gd name="connsiteY6" fmla="*/ 3227696 h 4250873"/>
                <a:gd name="connsiteX7" fmla="*/ 1071717 w 4250871"/>
                <a:gd name="connsiteY7" fmla="*/ 3227127 h 4250873"/>
                <a:gd name="connsiteX8" fmla="*/ 1068045 w 4250871"/>
                <a:gd name="connsiteY8" fmla="*/ 3223086 h 4250873"/>
                <a:gd name="connsiteX9" fmla="*/ 1064523 w 4250871"/>
                <a:gd name="connsiteY9" fmla="*/ 3219563 h 4250873"/>
                <a:gd name="connsiteX10" fmla="*/ 1063649 w 4250871"/>
                <a:gd name="connsiteY10" fmla="*/ 3218248 h 4250873"/>
                <a:gd name="connsiteX11" fmla="*/ 1049089 w 4250871"/>
                <a:gd name="connsiteY11" fmla="*/ 3202223 h 4250873"/>
                <a:gd name="connsiteX12" fmla="*/ 1045750 w 4250871"/>
                <a:gd name="connsiteY12" fmla="*/ 3191293 h 4250873"/>
                <a:gd name="connsiteX13" fmla="*/ 1038784 w 4250871"/>
                <a:gd name="connsiteY13" fmla="*/ 3180802 h 4250873"/>
                <a:gd name="connsiteX14" fmla="*/ 1032182 w 4250871"/>
                <a:gd name="connsiteY14" fmla="*/ 3146874 h 4250873"/>
                <a:gd name="connsiteX15" fmla="*/ 1029077 w 4250871"/>
                <a:gd name="connsiteY15" fmla="*/ 3136711 h 4250873"/>
                <a:gd name="connsiteX16" fmla="*/ 1063396 w 4250871"/>
                <a:gd name="connsiteY16" fmla="*/ 3053858 h 4250873"/>
                <a:gd name="connsiteX17" fmla="*/ 1066851 w 4250871"/>
                <a:gd name="connsiteY17" fmla="*/ 3051529 h 4250873"/>
                <a:gd name="connsiteX18" fmla="*/ 1426642 w 4250871"/>
                <a:gd name="connsiteY18" fmla="*/ 2691737 h 4250873"/>
                <a:gd name="connsiteX19" fmla="*/ 1592348 w 4250871"/>
                <a:gd name="connsiteY19" fmla="*/ 2691737 h 4250873"/>
                <a:gd name="connsiteX20" fmla="*/ 1592348 w 4250871"/>
                <a:gd name="connsiteY20" fmla="*/ 2857443 h 4250873"/>
                <a:gd name="connsiteX21" fmla="*/ 1430252 w 4250871"/>
                <a:gd name="connsiteY21" fmla="*/ 3019539 h 4250873"/>
                <a:gd name="connsiteX22" fmla="*/ 2743390 w 4250871"/>
                <a:gd name="connsiteY22" fmla="*/ 3019539 h 4250873"/>
                <a:gd name="connsiteX23" fmla="*/ 2860562 w 4250871"/>
                <a:gd name="connsiteY23" fmla="*/ 3136711 h 4250873"/>
                <a:gd name="connsiteX24" fmla="*/ 2860562 w 4250871"/>
                <a:gd name="connsiteY24" fmla="*/ 2122041 h 4250873"/>
                <a:gd name="connsiteX25" fmla="*/ 2743390 w 4250871"/>
                <a:gd name="connsiteY25" fmla="*/ 2239213 h 4250873"/>
                <a:gd name="connsiteX26" fmla="*/ 1430254 w 4250871"/>
                <a:gd name="connsiteY26" fmla="*/ 2239213 h 4250873"/>
                <a:gd name="connsiteX27" fmla="*/ 1592348 w 4250871"/>
                <a:gd name="connsiteY27" fmla="*/ 2401307 h 4250873"/>
                <a:gd name="connsiteX28" fmla="*/ 1592348 w 4250871"/>
                <a:gd name="connsiteY28" fmla="*/ 2567013 h 4250873"/>
                <a:gd name="connsiteX29" fmla="*/ 1426642 w 4250871"/>
                <a:gd name="connsiteY29" fmla="*/ 2567013 h 4250873"/>
                <a:gd name="connsiteX30" fmla="*/ 1072656 w 4250871"/>
                <a:gd name="connsiteY30" fmla="*/ 2213026 h 4250873"/>
                <a:gd name="connsiteX31" fmla="*/ 1071717 w 4250871"/>
                <a:gd name="connsiteY31" fmla="*/ 2212457 h 4250873"/>
                <a:gd name="connsiteX32" fmla="*/ 1068045 w 4250871"/>
                <a:gd name="connsiteY32" fmla="*/ 2208416 h 4250873"/>
                <a:gd name="connsiteX33" fmla="*/ 1064523 w 4250871"/>
                <a:gd name="connsiteY33" fmla="*/ 2204893 h 4250873"/>
                <a:gd name="connsiteX34" fmla="*/ 1063649 w 4250871"/>
                <a:gd name="connsiteY34" fmla="*/ 2203578 h 4250873"/>
                <a:gd name="connsiteX35" fmla="*/ 1049089 w 4250871"/>
                <a:gd name="connsiteY35" fmla="*/ 2187553 h 4250873"/>
                <a:gd name="connsiteX36" fmla="*/ 1045750 w 4250871"/>
                <a:gd name="connsiteY36" fmla="*/ 2176623 h 4250873"/>
                <a:gd name="connsiteX37" fmla="*/ 1038784 w 4250871"/>
                <a:gd name="connsiteY37" fmla="*/ 2166132 h 4250873"/>
                <a:gd name="connsiteX38" fmla="*/ 1032182 w 4250871"/>
                <a:gd name="connsiteY38" fmla="*/ 2132204 h 4250873"/>
                <a:gd name="connsiteX39" fmla="*/ 1029077 w 4250871"/>
                <a:gd name="connsiteY39" fmla="*/ 2122041 h 4250873"/>
                <a:gd name="connsiteX40" fmla="*/ 1063396 w 4250871"/>
                <a:gd name="connsiteY40" fmla="*/ 2039188 h 4250873"/>
                <a:gd name="connsiteX41" fmla="*/ 1066851 w 4250871"/>
                <a:gd name="connsiteY41" fmla="*/ 2036859 h 4250873"/>
                <a:gd name="connsiteX42" fmla="*/ 1426642 w 4250871"/>
                <a:gd name="connsiteY42" fmla="*/ 1677067 h 4250873"/>
                <a:gd name="connsiteX43" fmla="*/ 1592348 w 4250871"/>
                <a:gd name="connsiteY43" fmla="*/ 1677067 h 4250873"/>
                <a:gd name="connsiteX44" fmla="*/ 1592348 w 4250871"/>
                <a:gd name="connsiteY44" fmla="*/ 1842773 h 4250873"/>
                <a:gd name="connsiteX45" fmla="*/ 1430252 w 4250871"/>
                <a:gd name="connsiteY45" fmla="*/ 2004869 h 4250873"/>
                <a:gd name="connsiteX46" fmla="*/ 2743390 w 4250871"/>
                <a:gd name="connsiteY46" fmla="*/ 2004869 h 4250873"/>
                <a:gd name="connsiteX47" fmla="*/ 2860562 w 4250871"/>
                <a:gd name="connsiteY47" fmla="*/ 2122041 h 4250873"/>
                <a:gd name="connsiteX48" fmla="*/ 2860562 w 4250871"/>
                <a:gd name="connsiteY48" fmla="*/ 1107371 h 4250873"/>
                <a:gd name="connsiteX49" fmla="*/ 2743390 w 4250871"/>
                <a:gd name="connsiteY49" fmla="*/ 1224543 h 4250873"/>
                <a:gd name="connsiteX50" fmla="*/ 1430254 w 4250871"/>
                <a:gd name="connsiteY50" fmla="*/ 1224543 h 4250873"/>
                <a:gd name="connsiteX51" fmla="*/ 1592348 w 4250871"/>
                <a:gd name="connsiteY51" fmla="*/ 1386637 h 4250873"/>
                <a:gd name="connsiteX52" fmla="*/ 1592348 w 4250871"/>
                <a:gd name="connsiteY52" fmla="*/ 1552343 h 4250873"/>
                <a:gd name="connsiteX53" fmla="*/ 1426642 w 4250871"/>
                <a:gd name="connsiteY53" fmla="*/ 1552343 h 4250873"/>
                <a:gd name="connsiteX54" fmla="*/ 1072656 w 4250871"/>
                <a:gd name="connsiteY54" fmla="*/ 1198356 h 4250873"/>
                <a:gd name="connsiteX55" fmla="*/ 1071717 w 4250871"/>
                <a:gd name="connsiteY55" fmla="*/ 1197787 h 4250873"/>
                <a:gd name="connsiteX56" fmla="*/ 1068045 w 4250871"/>
                <a:gd name="connsiteY56" fmla="*/ 1193746 h 4250873"/>
                <a:gd name="connsiteX57" fmla="*/ 1064523 w 4250871"/>
                <a:gd name="connsiteY57" fmla="*/ 1190223 h 4250873"/>
                <a:gd name="connsiteX58" fmla="*/ 1063649 w 4250871"/>
                <a:gd name="connsiteY58" fmla="*/ 1188908 h 4250873"/>
                <a:gd name="connsiteX59" fmla="*/ 1049089 w 4250871"/>
                <a:gd name="connsiteY59" fmla="*/ 1172883 h 4250873"/>
                <a:gd name="connsiteX60" fmla="*/ 1045750 w 4250871"/>
                <a:gd name="connsiteY60" fmla="*/ 1161953 h 4250873"/>
                <a:gd name="connsiteX61" fmla="*/ 1038784 w 4250871"/>
                <a:gd name="connsiteY61" fmla="*/ 1151462 h 4250873"/>
                <a:gd name="connsiteX62" fmla="*/ 1032182 w 4250871"/>
                <a:gd name="connsiteY62" fmla="*/ 1117534 h 4250873"/>
                <a:gd name="connsiteX63" fmla="*/ 1029077 w 4250871"/>
                <a:gd name="connsiteY63" fmla="*/ 1107371 h 4250873"/>
                <a:gd name="connsiteX64" fmla="*/ 1063396 w 4250871"/>
                <a:gd name="connsiteY64" fmla="*/ 1024518 h 4250873"/>
                <a:gd name="connsiteX65" fmla="*/ 1066851 w 4250871"/>
                <a:gd name="connsiteY65" fmla="*/ 1022189 h 4250873"/>
                <a:gd name="connsiteX66" fmla="*/ 1426642 w 4250871"/>
                <a:gd name="connsiteY66" fmla="*/ 662397 h 4250873"/>
                <a:gd name="connsiteX67" fmla="*/ 1592348 w 4250871"/>
                <a:gd name="connsiteY67" fmla="*/ 662397 h 4250873"/>
                <a:gd name="connsiteX68" fmla="*/ 1592348 w 4250871"/>
                <a:gd name="connsiteY68" fmla="*/ 828103 h 4250873"/>
                <a:gd name="connsiteX69" fmla="*/ 1430252 w 4250871"/>
                <a:gd name="connsiteY69" fmla="*/ 990199 h 4250873"/>
                <a:gd name="connsiteX70" fmla="*/ 2743390 w 4250871"/>
                <a:gd name="connsiteY70" fmla="*/ 990199 h 4250873"/>
                <a:gd name="connsiteX71" fmla="*/ 2860562 w 4250871"/>
                <a:gd name="connsiteY71" fmla="*/ 1107371 h 4250873"/>
                <a:gd name="connsiteX72" fmla="*/ 3334103 w 4250871"/>
                <a:gd name="connsiteY72" fmla="*/ 1052131 h 4250873"/>
                <a:gd name="connsiteX73" fmla="*/ 3334103 w 4250871"/>
                <a:gd name="connsiteY73" fmla="*/ 3191951 h 4250873"/>
                <a:gd name="connsiteX74" fmla="*/ 3216931 w 4250871"/>
                <a:gd name="connsiteY74" fmla="*/ 3309123 h 4250873"/>
                <a:gd name="connsiteX75" fmla="*/ 3099759 w 4250871"/>
                <a:gd name="connsiteY75" fmla="*/ 3191951 h 4250873"/>
                <a:gd name="connsiteX76" fmla="*/ 3099759 w 4250871"/>
                <a:gd name="connsiteY76" fmla="*/ 1052131 h 4250873"/>
                <a:gd name="connsiteX77" fmla="*/ 3216931 w 4250871"/>
                <a:gd name="connsiteY77" fmla="*/ 934959 h 4250873"/>
                <a:gd name="connsiteX78" fmla="*/ 3334103 w 4250871"/>
                <a:gd name="connsiteY78" fmla="*/ 1052131 h 4250873"/>
                <a:gd name="connsiteX79" fmla="*/ 3984408 w 4250871"/>
                <a:gd name="connsiteY79" fmla="*/ 2125436 h 4250873"/>
                <a:gd name="connsiteX80" fmla="*/ 2125437 w 4250871"/>
                <a:gd name="connsiteY80" fmla="*/ 266463 h 4250873"/>
                <a:gd name="connsiteX81" fmla="*/ 266465 w 4250871"/>
                <a:gd name="connsiteY81" fmla="*/ 2125435 h 4250873"/>
                <a:gd name="connsiteX82" fmla="*/ 2125437 w 4250871"/>
                <a:gd name="connsiteY82" fmla="*/ 3984408 h 4250873"/>
                <a:gd name="connsiteX83" fmla="*/ 3984408 w 4250871"/>
                <a:gd name="connsiteY83" fmla="*/ 2125436 h 4250873"/>
                <a:gd name="connsiteX84" fmla="*/ 4250871 w 4250871"/>
                <a:gd name="connsiteY84" fmla="*/ 2125437 h 4250873"/>
                <a:gd name="connsiteX85" fmla="*/ 2125436 w 4250871"/>
                <a:gd name="connsiteY85" fmla="*/ 4250873 h 4250873"/>
                <a:gd name="connsiteX86" fmla="*/ 0 w 4250871"/>
                <a:gd name="connsiteY86" fmla="*/ 2125436 h 4250873"/>
                <a:gd name="connsiteX87" fmla="*/ 2125436 w 4250871"/>
                <a:gd name="connsiteY87" fmla="*/ 0 h 4250873"/>
                <a:gd name="connsiteX88" fmla="*/ 4250871 w 4250871"/>
                <a:gd name="connsiteY88" fmla="*/ 2125437 h 42508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</a:cxnLst>
              <a:rect l="l" t="t" r="r" b="b"/>
              <a:pathLst>
                <a:path w="4250871" h="4250873">
                  <a:moveTo>
                    <a:pt x="2860562" y="3136711"/>
                  </a:moveTo>
                  <a:cubicBezTo>
                    <a:pt x="2860562" y="3201423"/>
                    <a:pt x="2808102" y="3253883"/>
                    <a:pt x="2743390" y="3253883"/>
                  </a:cubicBezTo>
                  <a:lnTo>
                    <a:pt x="1430254" y="3253883"/>
                  </a:lnTo>
                  <a:lnTo>
                    <a:pt x="1592348" y="3415977"/>
                  </a:lnTo>
                  <a:cubicBezTo>
                    <a:pt x="1638107" y="3461735"/>
                    <a:pt x="1638107" y="3535925"/>
                    <a:pt x="1592348" y="3581683"/>
                  </a:cubicBezTo>
                  <a:cubicBezTo>
                    <a:pt x="1546590" y="3627443"/>
                    <a:pt x="1472401" y="3627443"/>
                    <a:pt x="1426642" y="3581683"/>
                  </a:cubicBezTo>
                  <a:lnTo>
                    <a:pt x="1072656" y="3227696"/>
                  </a:lnTo>
                  <a:lnTo>
                    <a:pt x="1071717" y="3227127"/>
                  </a:lnTo>
                  <a:lnTo>
                    <a:pt x="1068045" y="3223086"/>
                  </a:lnTo>
                  <a:lnTo>
                    <a:pt x="1064523" y="3219563"/>
                  </a:lnTo>
                  <a:lnTo>
                    <a:pt x="1063649" y="3218248"/>
                  </a:lnTo>
                  <a:lnTo>
                    <a:pt x="1049089" y="3202223"/>
                  </a:lnTo>
                  <a:lnTo>
                    <a:pt x="1045750" y="3191293"/>
                  </a:lnTo>
                  <a:lnTo>
                    <a:pt x="1038784" y="3180802"/>
                  </a:lnTo>
                  <a:lnTo>
                    <a:pt x="1032182" y="3146874"/>
                  </a:lnTo>
                  <a:lnTo>
                    <a:pt x="1029077" y="3136711"/>
                  </a:lnTo>
                  <a:cubicBezTo>
                    <a:pt x="1029077" y="3104355"/>
                    <a:pt x="1042192" y="3075062"/>
                    <a:pt x="1063396" y="3053858"/>
                  </a:cubicBezTo>
                  <a:lnTo>
                    <a:pt x="1066851" y="3051529"/>
                  </a:lnTo>
                  <a:lnTo>
                    <a:pt x="1426642" y="2691737"/>
                  </a:lnTo>
                  <a:cubicBezTo>
                    <a:pt x="1472401" y="2645978"/>
                    <a:pt x="1546590" y="2645978"/>
                    <a:pt x="1592348" y="2691737"/>
                  </a:cubicBezTo>
                  <a:cubicBezTo>
                    <a:pt x="1638107" y="2737495"/>
                    <a:pt x="1638107" y="2811685"/>
                    <a:pt x="1592348" y="2857443"/>
                  </a:cubicBezTo>
                  <a:lnTo>
                    <a:pt x="1430252" y="3019539"/>
                  </a:lnTo>
                  <a:lnTo>
                    <a:pt x="2743390" y="3019539"/>
                  </a:lnTo>
                  <a:cubicBezTo>
                    <a:pt x="2808102" y="3019539"/>
                    <a:pt x="2860562" y="3071999"/>
                    <a:pt x="2860562" y="3136711"/>
                  </a:cubicBezTo>
                  <a:close/>
                  <a:moveTo>
                    <a:pt x="2860562" y="2122041"/>
                  </a:moveTo>
                  <a:cubicBezTo>
                    <a:pt x="2860562" y="2186753"/>
                    <a:pt x="2808102" y="2239213"/>
                    <a:pt x="2743390" y="2239213"/>
                  </a:cubicBezTo>
                  <a:lnTo>
                    <a:pt x="1430254" y="2239213"/>
                  </a:lnTo>
                  <a:lnTo>
                    <a:pt x="1592348" y="2401307"/>
                  </a:lnTo>
                  <a:cubicBezTo>
                    <a:pt x="1638107" y="2447065"/>
                    <a:pt x="1638107" y="2521255"/>
                    <a:pt x="1592348" y="2567013"/>
                  </a:cubicBezTo>
                  <a:cubicBezTo>
                    <a:pt x="1546590" y="2612772"/>
                    <a:pt x="1472401" y="2612772"/>
                    <a:pt x="1426642" y="2567013"/>
                  </a:cubicBezTo>
                  <a:lnTo>
                    <a:pt x="1072656" y="2213026"/>
                  </a:lnTo>
                  <a:lnTo>
                    <a:pt x="1071717" y="2212457"/>
                  </a:lnTo>
                  <a:lnTo>
                    <a:pt x="1068045" y="2208416"/>
                  </a:lnTo>
                  <a:lnTo>
                    <a:pt x="1064523" y="2204893"/>
                  </a:lnTo>
                  <a:lnTo>
                    <a:pt x="1063649" y="2203578"/>
                  </a:lnTo>
                  <a:lnTo>
                    <a:pt x="1049089" y="2187553"/>
                  </a:lnTo>
                  <a:lnTo>
                    <a:pt x="1045750" y="2176623"/>
                  </a:lnTo>
                  <a:lnTo>
                    <a:pt x="1038784" y="2166132"/>
                  </a:lnTo>
                  <a:lnTo>
                    <a:pt x="1032182" y="2132204"/>
                  </a:lnTo>
                  <a:lnTo>
                    <a:pt x="1029077" y="2122041"/>
                  </a:lnTo>
                  <a:cubicBezTo>
                    <a:pt x="1029077" y="2089685"/>
                    <a:pt x="1042192" y="2060392"/>
                    <a:pt x="1063396" y="2039188"/>
                  </a:cubicBezTo>
                  <a:lnTo>
                    <a:pt x="1066851" y="2036859"/>
                  </a:lnTo>
                  <a:lnTo>
                    <a:pt x="1426642" y="1677067"/>
                  </a:lnTo>
                  <a:cubicBezTo>
                    <a:pt x="1472401" y="1631308"/>
                    <a:pt x="1546590" y="1631308"/>
                    <a:pt x="1592348" y="1677067"/>
                  </a:cubicBezTo>
                  <a:cubicBezTo>
                    <a:pt x="1638107" y="1722825"/>
                    <a:pt x="1638107" y="1797015"/>
                    <a:pt x="1592348" y="1842773"/>
                  </a:cubicBezTo>
                  <a:lnTo>
                    <a:pt x="1430252" y="2004869"/>
                  </a:lnTo>
                  <a:lnTo>
                    <a:pt x="2743390" y="2004869"/>
                  </a:lnTo>
                  <a:cubicBezTo>
                    <a:pt x="2808102" y="2004869"/>
                    <a:pt x="2860562" y="2057329"/>
                    <a:pt x="2860562" y="2122041"/>
                  </a:cubicBezTo>
                  <a:close/>
                  <a:moveTo>
                    <a:pt x="2860562" y="1107371"/>
                  </a:moveTo>
                  <a:cubicBezTo>
                    <a:pt x="2860562" y="1172083"/>
                    <a:pt x="2808102" y="1224543"/>
                    <a:pt x="2743390" y="1224543"/>
                  </a:cubicBezTo>
                  <a:lnTo>
                    <a:pt x="1430254" y="1224543"/>
                  </a:lnTo>
                  <a:lnTo>
                    <a:pt x="1592348" y="1386637"/>
                  </a:lnTo>
                  <a:cubicBezTo>
                    <a:pt x="1638107" y="1432395"/>
                    <a:pt x="1638107" y="1506585"/>
                    <a:pt x="1592348" y="1552343"/>
                  </a:cubicBezTo>
                  <a:cubicBezTo>
                    <a:pt x="1546590" y="1598102"/>
                    <a:pt x="1472401" y="1598102"/>
                    <a:pt x="1426642" y="1552343"/>
                  </a:cubicBezTo>
                  <a:lnTo>
                    <a:pt x="1072656" y="1198356"/>
                  </a:lnTo>
                  <a:lnTo>
                    <a:pt x="1071717" y="1197787"/>
                  </a:lnTo>
                  <a:lnTo>
                    <a:pt x="1068045" y="1193746"/>
                  </a:lnTo>
                  <a:lnTo>
                    <a:pt x="1064523" y="1190223"/>
                  </a:lnTo>
                  <a:lnTo>
                    <a:pt x="1063649" y="1188908"/>
                  </a:lnTo>
                  <a:lnTo>
                    <a:pt x="1049089" y="1172883"/>
                  </a:lnTo>
                  <a:lnTo>
                    <a:pt x="1045750" y="1161953"/>
                  </a:lnTo>
                  <a:lnTo>
                    <a:pt x="1038784" y="1151462"/>
                  </a:lnTo>
                  <a:lnTo>
                    <a:pt x="1032182" y="1117534"/>
                  </a:lnTo>
                  <a:lnTo>
                    <a:pt x="1029077" y="1107371"/>
                  </a:lnTo>
                  <a:cubicBezTo>
                    <a:pt x="1029077" y="1075015"/>
                    <a:pt x="1042192" y="1045722"/>
                    <a:pt x="1063396" y="1024518"/>
                  </a:cubicBezTo>
                  <a:lnTo>
                    <a:pt x="1066851" y="1022189"/>
                  </a:lnTo>
                  <a:lnTo>
                    <a:pt x="1426642" y="662397"/>
                  </a:lnTo>
                  <a:cubicBezTo>
                    <a:pt x="1472401" y="616638"/>
                    <a:pt x="1546590" y="616638"/>
                    <a:pt x="1592348" y="662397"/>
                  </a:cubicBezTo>
                  <a:cubicBezTo>
                    <a:pt x="1638107" y="708155"/>
                    <a:pt x="1638107" y="782345"/>
                    <a:pt x="1592348" y="828103"/>
                  </a:cubicBezTo>
                  <a:lnTo>
                    <a:pt x="1430252" y="990199"/>
                  </a:lnTo>
                  <a:lnTo>
                    <a:pt x="2743390" y="990199"/>
                  </a:lnTo>
                  <a:cubicBezTo>
                    <a:pt x="2808102" y="990199"/>
                    <a:pt x="2860562" y="1042659"/>
                    <a:pt x="2860562" y="1107371"/>
                  </a:cubicBezTo>
                  <a:close/>
                  <a:moveTo>
                    <a:pt x="3334103" y="1052131"/>
                  </a:moveTo>
                  <a:lnTo>
                    <a:pt x="3334103" y="3191951"/>
                  </a:lnTo>
                  <a:cubicBezTo>
                    <a:pt x="3334103" y="3256663"/>
                    <a:pt x="3281643" y="3309123"/>
                    <a:pt x="3216931" y="3309123"/>
                  </a:cubicBezTo>
                  <a:cubicBezTo>
                    <a:pt x="3152219" y="3309123"/>
                    <a:pt x="3099759" y="3256663"/>
                    <a:pt x="3099759" y="3191951"/>
                  </a:cubicBezTo>
                  <a:lnTo>
                    <a:pt x="3099759" y="1052131"/>
                  </a:lnTo>
                  <a:cubicBezTo>
                    <a:pt x="3099759" y="987419"/>
                    <a:pt x="3152219" y="934959"/>
                    <a:pt x="3216931" y="934959"/>
                  </a:cubicBezTo>
                  <a:cubicBezTo>
                    <a:pt x="3281643" y="934959"/>
                    <a:pt x="3334103" y="987419"/>
                    <a:pt x="3334103" y="1052131"/>
                  </a:cubicBezTo>
                  <a:close/>
                  <a:moveTo>
                    <a:pt x="3984408" y="2125436"/>
                  </a:moveTo>
                  <a:cubicBezTo>
                    <a:pt x="3984408" y="1098754"/>
                    <a:pt x="3152119" y="266464"/>
                    <a:pt x="2125437" y="266463"/>
                  </a:cubicBezTo>
                  <a:cubicBezTo>
                    <a:pt x="1098755" y="266463"/>
                    <a:pt x="266465" y="1098753"/>
                    <a:pt x="266465" y="2125435"/>
                  </a:cubicBezTo>
                  <a:cubicBezTo>
                    <a:pt x="266464" y="3152118"/>
                    <a:pt x="1098755" y="3984408"/>
                    <a:pt x="2125437" y="3984408"/>
                  </a:cubicBezTo>
                  <a:cubicBezTo>
                    <a:pt x="3152119" y="3984408"/>
                    <a:pt x="3984408" y="3152118"/>
                    <a:pt x="3984408" y="2125436"/>
                  </a:cubicBezTo>
                  <a:close/>
                  <a:moveTo>
                    <a:pt x="4250871" y="2125437"/>
                  </a:moveTo>
                  <a:cubicBezTo>
                    <a:pt x="4250871" y="3299283"/>
                    <a:pt x="3299282" y="4250873"/>
                    <a:pt x="2125436" y="4250873"/>
                  </a:cubicBezTo>
                  <a:cubicBezTo>
                    <a:pt x="951589" y="4250873"/>
                    <a:pt x="-1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ubicBezTo>
                    <a:pt x="3299282" y="1"/>
                    <a:pt x="4250871" y="951591"/>
                    <a:pt x="4250871" y="2125437"/>
                  </a:cubicBezTo>
                  <a:close/>
                </a:path>
              </a:pathLst>
            </a:cu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6" name="Agrupar 115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600-000074000000}"/>
              </a:ext>
            </a:extLst>
          </xdr:cNvPr>
          <xdr:cNvGrpSpPr/>
        </xdr:nvGrpSpPr>
        <xdr:grpSpPr>
          <a:xfrm>
            <a:off x="8233479" y="123825"/>
            <a:ext cx="1268332" cy="243701"/>
            <a:chOff x="7056922" y="88944"/>
            <a:chExt cx="1271770" cy="243701"/>
          </a:xfrm>
        </xdr:grpSpPr>
        <xdr:sp macro="" textlink="">
          <xdr:nvSpPr>
            <xdr:cNvPr id="176" name="Retângulo: Cantos Arredondados 175">
              <a:hlinkClick xmlns:r="http://schemas.openxmlformats.org/officeDocument/2006/relationships" r:id="rId13"/>
              <a:extLst>
                <a:ext uri="{FF2B5EF4-FFF2-40B4-BE49-F238E27FC236}">
                  <a16:creationId xmlns:a16="http://schemas.microsoft.com/office/drawing/2014/main" id="{00000000-0008-0000-0600-0000B0000000}"/>
                </a:ext>
              </a:extLst>
            </xdr:cNvPr>
            <xdr:cNvSpPr/>
          </xdr:nvSpPr>
          <xdr:spPr>
            <a:xfrm>
              <a:off x="7056922" y="88944"/>
              <a:ext cx="1271770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Combinações</a:t>
              </a:r>
            </a:p>
          </xdr:txBody>
        </xdr:sp>
        <xdr:sp macro="" textlink="">
          <xdr:nvSpPr>
            <xdr:cNvPr id="177" name="Forma Livre: Forma 176">
              <a:extLst>
                <a:ext uri="{FF2B5EF4-FFF2-40B4-BE49-F238E27FC236}">
                  <a16:creationId xmlns:a16="http://schemas.microsoft.com/office/drawing/2014/main" id="{00000000-0008-0000-0600-0000B1000000}"/>
                </a:ext>
              </a:extLst>
            </xdr:cNvPr>
            <xdr:cNvSpPr>
              <a:spLocks noChangeAspect="1"/>
            </xdr:cNvSpPr>
          </xdr:nvSpPr>
          <xdr:spPr>
            <a:xfrm>
              <a:off x="7119137" y="117836"/>
              <a:ext cx="185995" cy="180000"/>
            </a:xfrm>
            <a:custGeom>
              <a:avLst/>
              <a:gdLst>
                <a:gd name="connsiteX0" fmla="*/ 2278531 w 3569686"/>
                <a:gd name="connsiteY0" fmla="*/ 2328860 h 3454629"/>
                <a:gd name="connsiteX1" fmla="*/ 2194294 w 3569686"/>
                <a:gd name="connsiteY1" fmla="*/ 2363873 h 3454629"/>
                <a:gd name="connsiteX2" fmla="*/ 1775189 w 3569686"/>
                <a:gd name="connsiteY2" fmla="*/ 2437837 h 3454629"/>
                <a:gd name="connsiteX3" fmla="*/ 1300731 w 3569686"/>
                <a:gd name="connsiteY3" fmla="*/ 2342048 h 3454629"/>
                <a:gd name="connsiteX4" fmla="*/ 1289766 w 3569686"/>
                <a:gd name="connsiteY4" fmla="*/ 2336766 h 3454629"/>
                <a:gd name="connsiteX5" fmla="*/ 1290167 w 3569686"/>
                <a:gd name="connsiteY5" fmla="*/ 2344713 h 3454629"/>
                <a:gd name="connsiteX6" fmla="*/ 1633943 w 3569686"/>
                <a:gd name="connsiteY6" fmla="*/ 3024860 h 3454629"/>
                <a:gd name="connsiteX7" fmla="*/ 1767728 w 3569686"/>
                <a:gd name="connsiteY7" fmla="*/ 3126135 h 3454629"/>
                <a:gd name="connsiteX8" fmla="*/ 1814987 w 3569686"/>
                <a:gd name="connsiteY8" fmla="*/ 3097424 h 3454629"/>
                <a:gd name="connsiteX9" fmla="*/ 2263363 w 3569686"/>
                <a:gd name="connsiteY9" fmla="*/ 2428251 h 3454629"/>
                <a:gd name="connsiteX10" fmla="*/ 2982129 w 3569686"/>
                <a:gd name="connsiteY10" fmla="*/ 1380800 h 3454629"/>
                <a:gd name="connsiteX11" fmla="*/ 2969344 w 3569686"/>
                <a:gd name="connsiteY11" fmla="*/ 1464573 h 3454629"/>
                <a:gd name="connsiteX12" fmla="*/ 2550535 w 3569686"/>
                <a:gd name="connsiteY12" fmla="*/ 2159495 h 3454629"/>
                <a:gd name="connsiteX13" fmla="*/ 2436571 w 3569686"/>
                <a:gd name="connsiteY13" fmla="*/ 2238469 h 3454629"/>
                <a:gd name="connsiteX14" fmla="*/ 2431544 w 3569686"/>
                <a:gd name="connsiteY14" fmla="*/ 2338022 h 3454629"/>
                <a:gd name="connsiteX15" fmla="*/ 1994264 w 3569686"/>
                <a:gd name="connsiteY15" fmla="*/ 3153971 h 3454629"/>
                <a:gd name="connsiteX16" fmla="*/ 1919588 w 3569686"/>
                <a:gd name="connsiteY16" fmla="*/ 3209813 h 3454629"/>
                <a:gd name="connsiteX17" fmla="*/ 1959854 w 3569686"/>
                <a:gd name="connsiteY17" fmla="*/ 3227866 h 3454629"/>
                <a:gd name="connsiteX18" fmla="*/ 2350767 w 3569686"/>
                <a:gd name="connsiteY18" fmla="*/ 3301814 h 3454629"/>
                <a:gd name="connsiteX19" fmla="*/ 3416871 w 3569686"/>
                <a:gd name="connsiteY19" fmla="*/ 2235710 h 3454629"/>
                <a:gd name="connsiteX20" fmla="*/ 3104616 w 3569686"/>
                <a:gd name="connsiteY20" fmla="*/ 1481861 h 3454629"/>
                <a:gd name="connsiteX21" fmla="*/ 565923 w 3569686"/>
                <a:gd name="connsiteY21" fmla="*/ 1371932 h 3454629"/>
                <a:gd name="connsiteX22" fmla="*/ 540777 w 3569686"/>
                <a:gd name="connsiteY22" fmla="*/ 1390737 h 3454629"/>
                <a:gd name="connsiteX23" fmla="*/ 152814 w 3569686"/>
                <a:gd name="connsiteY23" fmla="*/ 2213394 h 3454629"/>
                <a:gd name="connsiteX24" fmla="*/ 1218918 w 3569686"/>
                <a:gd name="connsiteY24" fmla="*/ 3279498 h 3454629"/>
                <a:gd name="connsiteX25" fmla="*/ 1535945 w 3569686"/>
                <a:gd name="connsiteY25" fmla="*/ 3231568 h 3454629"/>
                <a:gd name="connsiteX26" fmla="*/ 1610884 w 3569686"/>
                <a:gd name="connsiteY26" fmla="*/ 3204140 h 3454629"/>
                <a:gd name="connsiteX27" fmla="*/ 1531194 w 3569686"/>
                <a:gd name="connsiteY27" fmla="*/ 3137976 h 3454629"/>
                <a:gd name="connsiteX28" fmla="*/ 1138142 w 3569686"/>
                <a:gd name="connsiteY28" fmla="*/ 2360338 h 3454629"/>
                <a:gd name="connsiteX29" fmla="*/ 1132742 w 3569686"/>
                <a:gd name="connsiteY29" fmla="*/ 2253396 h 3454629"/>
                <a:gd name="connsiteX30" fmla="*/ 1093680 w 3569686"/>
                <a:gd name="connsiteY30" fmla="*/ 2229665 h 3454629"/>
                <a:gd name="connsiteX31" fmla="*/ 566064 w 3569686"/>
                <a:gd name="connsiteY31" fmla="*/ 1374164 h 3454629"/>
                <a:gd name="connsiteX32" fmla="*/ 1802664 w 3569686"/>
                <a:gd name="connsiteY32" fmla="*/ 1321878 h 3454629"/>
                <a:gd name="connsiteX33" fmla="*/ 1787007 w 3569686"/>
                <a:gd name="connsiteY33" fmla="*/ 1330692 h 3454629"/>
                <a:gd name="connsiteX34" fmla="*/ 1290167 w 3569686"/>
                <a:gd name="connsiteY34" fmla="*/ 2126707 h 3454629"/>
                <a:gd name="connsiteX35" fmla="*/ 1288156 w 3569686"/>
                <a:gd name="connsiteY35" fmla="*/ 2166531 h 3454629"/>
                <a:gd name="connsiteX36" fmla="*/ 1360213 w 3569686"/>
                <a:gd name="connsiteY36" fmla="*/ 2201242 h 3454629"/>
                <a:gd name="connsiteX37" fmla="*/ 1775189 w 3569686"/>
                <a:gd name="connsiteY37" fmla="*/ 2285022 h 3454629"/>
                <a:gd name="connsiteX38" fmla="*/ 2254778 w 3569686"/>
                <a:gd name="connsiteY38" fmla="*/ 2171317 h 3454629"/>
                <a:gd name="connsiteX39" fmla="*/ 2282120 w 3569686"/>
                <a:gd name="connsiteY39" fmla="*/ 2155926 h 3454629"/>
                <a:gd name="connsiteX40" fmla="*/ 2279518 w 3569686"/>
                <a:gd name="connsiteY40" fmla="*/ 2104391 h 3454629"/>
                <a:gd name="connsiteX41" fmla="*/ 1814987 w 3569686"/>
                <a:gd name="connsiteY41" fmla="*/ 1329364 h 3454629"/>
                <a:gd name="connsiteX42" fmla="*/ 2350767 w 3569686"/>
                <a:gd name="connsiteY42" fmla="*/ 1169606 h 3454629"/>
                <a:gd name="connsiteX43" fmla="*/ 1959854 w 3569686"/>
                <a:gd name="connsiteY43" fmla="*/ 1243555 h 3454629"/>
                <a:gd name="connsiteX44" fmla="*/ 1956901 w 3569686"/>
                <a:gd name="connsiteY44" fmla="*/ 1244879 h 3454629"/>
                <a:gd name="connsiteX45" fmla="*/ 1994264 w 3569686"/>
                <a:gd name="connsiteY45" fmla="*/ 1272818 h 3454629"/>
                <a:gd name="connsiteX46" fmla="*/ 2413073 w 3569686"/>
                <a:gd name="connsiteY46" fmla="*/ 1967740 h 3454629"/>
                <a:gd name="connsiteX47" fmla="*/ 2426766 w 3569686"/>
                <a:gd name="connsiteY47" fmla="*/ 2057460 h 3454629"/>
                <a:gd name="connsiteX48" fmla="*/ 2492013 w 3569686"/>
                <a:gd name="connsiteY48" fmla="*/ 2008067 h 3454629"/>
                <a:gd name="connsiteX49" fmla="*/ 2835789 w 3569686"/>
                <a:gd name="connsiteY49" fmla="*/ 1327921 h 3454629"/>
                <a:gd name="connsiteX50" fmla="*/ 2837800 w 3569686"/>
                <a:gd name="connsiteY50" fmla="*/ 1288098 h 3454629"/>
                <a:gd name="connsiteX51" fmla="*/ 2765743 w 3569686"/>
                <a:gd name="connsiteY51" fmla="*/ 1253386 h 3454629"/>
                <a:gd name="connsiteX52" fmla="*/ 2350767 w 3569686"/>
                <a:gd name="connsiteY52" fmla="*/ 1169606 h 3454629"/>
                <a:gd name="connsiteX53" fmla="*/ 1218918 w 3569686"/>
                <a:gd name="connsiteY53" fmla="*/ 1147290 h 3454629"/>
                <a:gd name="connsiteX54" fmla="*/ 803942 w 3569686"/>
                <a:gd name="connsiteY54" fmla="*/ 1231070 h 3454629"/>
                <a:gd name="connsiteX55" fmla="*/ 711937 w 3569686"/>
                <a:gd name="connsiteY55" fmla="*/ 1275391 h 3454629"/>
                <a:gd name="connsiteX56" fmla="*/ 714589 w 3569686"/>
                <a:gd name="connsiteY56" fmla="*/ 1327921 h 3454629"/>
                <a:gd name="connsiteX57" fmla="*/ 1021340 w 3569686"/>
                <a:gd name="connsiteY57" fmla="*/ 1972767 h 3454629"/>
                <a:gd name="connsiteX58" fmla="*/ 1143828 w 3569686"/>
                <a:gd name="connsiteY58" fmla="*/ 2073829 h 3454629"/>
                <a:gd name="connsiteX59" fmla="*/ 1156613 w 3569686"/>
                <a:gd name="connsiteY59" fmla="*/ 1990056 h 3454629"/>
                <a:gd name="connsiteX60" fmla="*/ 1575422 w 3569686"/>
                <a:gd name="connsiteY60" fmla="*/ 1295134 h 3454629"/>
                <a:gd name="connsiteX61" fmla="*/ 1653937 w 3569686"/>
                <a:gd name="connsiteY61" fmla="*/ 1240725 h 3454629"/>
                <a:gd name="connsiteX62" fmla="*/ 1633894 w 3569686"/>
                <a:gd name="connsiteY62" fmla="*/ 1231070 h 3454629"/>
                <a:gd name="connsiteX63" fmla="*/ 1218918 w 3569686"/>
                <a:gd name="connsiteY63" fmla="*/ 1147290 h 3454629"/>
                <a:gd name="connsiteX64" fmla="*/ 1775189 w 3569686"/>
                <a:gd name="connsiteY64" fmla="*/ 152814 h 3454629"/>
                <a:gd name="connsiteX65" fmla="*/ 730744 w 3569686"/>
                <a:gd name="connsiteY65" fmla="*/ 1004061 h 3454629"/>
                <a:gd name="connsiteX66" fmla="*/ 715456 w 3569686"/>
                <a:gd name="connsiteY66" fmla="*/ 1104237 h 3454629"/>
                <a:gd name="connsiteX67" fmla="*/ 744460 w 3569686"/>
                <a:gd name="connsiteY67" fmla="*/ 1090265 h 3454629"/>
                <a:gd name="connsiteX68" fmla="*/ 1218919 w 3569686"/>
                <a:gd name="connsiteY68" fmla="*/ 994476 h 3454629"/>
                <a:gd name="connsiteX69" fmla="*/ 1799928 w 3569686"/>
                <a:gd name="connsiteY69" fmla="*/ 1141593 h 3454629"/>
                <a:gd name="connsiteX70" fmla="*/ 1806707 w 3569686"/>
                <a:gd name="connsiteY70" fmla="*/ 1145712 h 3454629"/>
                <a:gd name="connsiteX71" fmla="*/ 1835682 w 3569686"/>
                <a:gd name="connsiteY71" fmla="*/ 1130650 h 3454629"/>
                <a:gd name="connsiteX72" fmla="*/ 2350767 w 3569686"/>
                <a:gd name="connsiteY72" fmla="*/ 1016792 h 3454629"/>
                <a:gd name="connsiteX73" fmla="*/ 2825226 w 3569686"/>
                <a:gd name="connsiteY73" fmla="*/ 1112581 h 3454629"/>
                <a:gd name="connsiteX74" fmla="*/ 2836190 w 3569686"/>
                <a:gd name="connsiteY74" fmla="*/ 1117863 h 3454629"/>
                <a:gd name="connsiteX75" fmla="*/ 2835789 w 3569686"/>
                <a:gd name="connsiteY75" fmla="*/ 1109915 h 3454629"/>
                <a:gd name="connsiteX76" fmla="*/ 1775189 w 3569686"/>
                <a:gd name="connsiteY76" fmla="*/ 152814 h 3454629"/>
                <a:gd name="connsiteX77" fmla="*/ 1775189 w 3569686"/>
                <a:gd name="connsiteY77" fmla="*/ 0 h 3454629"/>
                <a:gd name="connsiteX78" fmla="*/ 2987815 w 3569686"/>
                <a:gd name="connsiteY78" fmla="*/ 1094291 h 3454629"/>
                <a:gd name="connsiteX79" fmla="*/ 2993215 w 3569686"/>
                <a:gd name="connsiteY79" fmla="*/ 1201234 h 3454629"/>
                <a:gd name="connsiteX80" fmla="*/ 3032277 w 3569686"/>
                <a:gd name="connsiteY80" fmla="*/ 1224964 h 3454629"/>
                <a:gd name="connsiteX81" fmla="*/ 3569686 w 3569686"/>
                <a:gd name="connsiteY81" fmla="*/ 2235711 h 3454629"/>
                <a:gd name="connsiteX82" fmla="*/ 2350767 w 3569686"/>
                <a:gd name="connsiteY82" fmla="*/ 3454629 h 3454629"/>
                <a:gd name="connsiteX83" fmla="*/ 1802434 w 3569686"/>
                <a:gd name="connsiteY83" fmla="*/ 3324626 h 3454629"/>
                <a:gd name="connsiteX84" fmla="*/ 1763533 w 3569686"/>
                <a:gd name="connsiteY84" fmla="*/ 3302729 h 3454629"/>
                <a:gd name="connsiteX85" fmla="*/ 1693377 w 3569686"/>
                <a:gd name="connsiteY85" fmla="*/ 3336525 h 3454629"/>
                <a:gd name="connsiteX86" fmla="*/ 1218919 w 3569686"/>
                <a:gd name="connsiteY86" fmla="*/ 3432313 h 3454629"/>
                <a:gd name="connsiteX87" fmla="*/ 0 w 3569686"/>
                <a:gd name="connsiteY87" fmla="*/ 2213395 h 3454629"/>
                <a:gd name="connsiteX88" fmla="*/ 537410 w 3569686"/>
                <a:gd name="connsiteY88" fmla="*/ 1202648 h 3454629"/>
                <a:gd name="connsiteX89" fmla="*/ 557716 w 3569686"/>
                <a:gd name="connsiteY89" fmla="*/ 1190312 h 3454629"/>
                <a:gd name="connsiteX90" fmla="*/ 562564 w 3569686"/>
                <a:gd name="connsiteY90" fmla="*/ 1094291 h 3454629"/>
                <a:gd name="connsiteX91" fmla="*/ 1775189 w 3569686"/>
                <a:gd name="connsiteY91" fmla="*/ 0 h 3454629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</a:cxnLst>
              <a:rect l="l" t="t" r="r" b="b"/>
              <a:pathLst>
                <a:path w="3569686" h="3454629">
                  <a:moveTo>
                    <a:pt x="2278531" y="2328860"/>
                  </a:moveTo>
                  <a:lnTo>
                    <a:pt x="2194294" y="2363873"/>
                  </a:lnTo>
                  <a:cubicBezTo>
                    <a:pt x="2063611" y="2411723"/>
                    <a:pt x="1922450" y="2437837"/>
                    <a:pt x="1775189" y="2437837"/>
                  </a:cubicBezTo>
                  <a:cubicBezTo>
                    <a:pt x="1606892" y="2437837"/>
                    <a:pt x="1446560" y="2403729"/>
                    <a:pt x="1300731" y="2342048"/>
                  </a:cubicBezTo>
                  <a:lnTo>
                    <a:pt x="1289766" y="2336766"/>
                  </a:lnTo>
                  <a:lnTo>
                    <a:pt x="1290167" y="2344713"/>
                  </a:lnTo>
                  <a:cubicBezTo>
                    <a:pt x="1317465" y="2613508"/>
                    <a:pt x="1444616" y="2852783"/>
                    <a:pt x="1633943" y="3024860"/>
                  </a:cubicBezTo>
                  <a:lnTo>
                    <a:pt x="1767728" y="3126135"/>
                  </a:lnTo>
                  <a:lnTo>
                    <a:pt x="1814987" y="3097424"/>
                  </a:lnTo>
                  <a:cubicBezTo>
                    <a:pt x="2041855" y="2944155"/>
                    <a:pt x="2206557" y="2705855"/>
                    <a:pt x="2263363" y="2428251"/>
                  </a:cubicBezTo>
                  <a:close/>
                  <a:moveTo>
                    <a:pt x="2982129" y="1380800"/>
                  </a:moveTo>
                  <a:lnTo>
                    <a:pt x="2969344" y="1464573"/>
                  </a:lnTo>
                  <a:cubicBezTo>
                    <a:pt x="2912514" y="1742294"/>
                    <a:pt x="2761236" y="1985609"/>
                    <a:pt x="2550535" y="2159495"/>
                  </a:cubicBezTo>
                  <a:lnTo>
                    <a:pt x="2436571" y="2238469"/>
                  </a:lnTo>
                  <a:lnTo>
                    <a:pt x="2431544" y="2338022"/>
                  </a:lnTo>
                  <a:cubicBezTo>
                    <a:pt x="2398253" y="2665834"/>
                    <a:pt x="2235065" y="2955245"/>
                    <a:pt x="1994264" y="3153971"/>
                  </a:cubicBezTo>
                  <a:lnTo>
                    <a:pt x="1919588" y="3209813"/>
                  </a:lnTo>
                  <a:lnTo>
                    <a:pt x="1959854" y="3227866"/>
                  </a:lnTo>
                  <a:cubicBezTo>
                    <a:pt x="2080894" y="3275595"/>
                    <a:pt x="2212769" y="3301814"/>
                    <a:pt x="2350767" y="3301814"/>
                  </a:cubicBezTo>
                  <a:cubicBezTo>
                    <a:pt x="2939560" y="3301814"/>
                    <a:pt x="3416871" y="2824503"/>
                    <a:pt x="3416871" y="2235710"/>
                  </a:cubicBezTo>
                  <a:cubicBezTo>
                    <a:pt x="3416871" y="1941314"/>
                    <a:pt x="3297543" y="1674788"/>
                    <a:pt x="3104616" y="1481861"/>
                  </a:cubicBezTo>
                  <a:close/>
                  <a:moveTo>
                    <a:pt x="565923" y="1371932"/>
                  </a:moveTo>
                  <a:lnTo>
                    <a:pt x="540777" y="1390737"/>
                  </a:lnTo>
                  <a:cubicBezTo>
                    <a:pt x="303838" y="1586276"/>
                    <a:pt x="152814" y="1882198"/>
                    <a:pt x="152814" y="2213394"/>
                  </a:cubicBezTo>
                  <a:cubicBezTo>
                    <a:pt x="152814" y="2802187"/>
                    <a:pt x="630125" y="3279498"/>
                    <a:pt x="1218918" y="3279498"/>
                  </a:cubicBezTo>
                  <a:cubicBezTo>
                    <a:pt x="1329317" y="3279498"/>
                    <a:pt x="1435796" y="3262718"/>
                    <a:pt x="1535945" y="3231568"/>
                  </a:cubicBezTo>
                  <a:lnTo>
                    <a:pt x="1610884" y="3204140"/>
                  </a:lnTo>
                  <a:lnTo>
                    <a:pt x="1531194" y="3137976"/>
                  </a:lnTo>
                  <a:cubicBezTo>
                    <a:pt x="1314730" y="2941234"/>
                    <a:pt x="1169353" y="2667662"/>
                    <a:pt x="1138142" y="2360338"/>
                  </a:cubicBezTo>
                  <a:lnTo>
                    <a:pt x="1132742" y="2253396"/>
                  </a:lnTo>
                  <a:lnTo>
                    <a:pt x="1093680" y="2229665"/>
                  </a:lnTo>
                  <a:cubicBezTo>
                    <a:pt x="809975" y="2037998"/>
                    <a:pt x="611300" y="1730027"/>
                    <a:pt x="566064" y="1374164"/>
                  </a:cubicBezTo>
                  <a:close/>
                  <a:moveTo>
                    <a:pt x="1802664" y="1321878"/>
                  </a:moveTo>
                  <a:lnTo>
                    <a:pt x="1787007" y="1330692"/>
                  </a:lnTo>
                  <a:cubicBezTo>
                    <a:pt x="1514433" y="1500845"/>
                    <a:pt x="1324289" y="1790714"/>
                    <a:pt x="1290167" y="2126707"/>
                  </a:cubicBezTo>
                  <a:lnTo>
                    <a:pt x="1288156" y="2166531"/>
                  </a:lnTo>
                  <a:lnTo>
                    <a:pt x="1360213" y="2201242"/>
                  </a:lnTo>
                  <a:cubicBezTo>
                    <a:pt x="1487760" y="2255190"/>
                    <a:pt x="1627991" y="2285022"/>
                    <a:pt x="1775189" y="2285022"/>
                  </a:cubicBezTo>
                  <a:cubicBezTo>
                    <a:pt x="1947687" y="2285022"/>
                    <a:pt x="2110616" y="2244054"/>
                    <a:pt x="2254778" y="2171317"/>
                  </a:cubicBezTo>
                  <a:lnTo>
                    <a:pt x="2282120" y="2155926"/>
                  </a:lnTo>
                  <a:lnTo>
                    <a:pt x="2279518" y="2104391"/>
                  </a:lnTo>
                  <a:cubicBezTo>
                    <a:pt x="2246761" y="1781838"/>
                    <a:pt x="2070214" y="1501792"/>
                    <a:pt x="1814987" y="1329364"/>
                  </a:cubicBezTo>
                  <a:close/>
                  <a:moveTo>
                    <a:pt x="2350767" y="1169606"/>
                  </a:moveTo>
                  <a:cubicBezTo>
                    <a:pt x="2212769" y="1169606"/>
                    <a:pt x="2080894" y="1195826"/>
                    <a:pt x="1959854" y="1243555"/>
                  </a:cubicBezTo>
                  <a:lnTo>
                    <a:pt x="1956901" y="1244879"/>
                  </a:lnTo>
                  <a:lnTo>
                    <a:pt x="1994264" y="1272818"/>
                  </a:lnTo>
                  <a:cubicBezTo>
                    <a:pt x="2204965" y="1446704"/>
                    <a:pt x="2356243" y="1690020"/>
                    <a:pt x="2413073" y="1967740"/>
                  </a:cubicBezTo>
                  <a:lnTo>
                    <a:pt x="2426766" y="2057460"/>
                  </a:lnTo>
                  <a:lnTo>
                    <a:pt x="2492013" y="2008067"/>
                  </a:lnTo>
                  <a:cubicBezTo>
                    <a:pt x="2681340" y="1835991"/>
                    <a:pt x="2808492" y="1596716"/>
                    <a:pt x="2835789" y="1327921"/>
                  </a:cubicBezTo>
                  <a:lnTo>
                    <a:pt x="2837800" y="1288098"/>
                  </a:lnTo>
                  <a:lnTo>
                    <a:pt x="2765743" y="1253386"/>
                  </a:lnTo>
                  <a:cubicBezTo>
                    <a:pt x="2638196" y="1199438"/>
                    <a:pt x="2497965" y="1169606"/>
                    <a:pt x="2350767" y="1169606"/>
                  </a:cubicBezTo>
                  <a:close/>
                  <a:moveTo>
                    <a:pt x="1218918" y="1147290"/>
                  </a:moveTo>
                  <a:cubicBezTo>
                    <a:pt x="1071720" y="1147290"/>
                    <a:pt x="931489" y="1177122"/>
                    <a:pt x="803942" y="1231070"/>
                  </a:cubicBezTo>
                  <a:lnTo>
                    <a:pt x="711937" y="1275391"/>
                  </a:lnTo>
                  <a:lnTo>
                    <a:pt x="714589" y="1327921"/>
                  </a:lnTo>
                  <a:cubicBezTo>
                    <a:pt x="740067" y="1578796"/>
                    <a:pt x="852529" y="1803956"/>
                    <a:pt x="1021340" y="1972767"/>
                  </a:cubicBezTo>
                  <a:lnTo>
                    <a:pt x="1143828" y="2073829"/>
                  </a:lnTo>
                  <a:lnTo>
                    <a:pt x="1156613" y="1990056"/>
                  </a:lnTo>
                  <a:cubicBezTo>
                    <a:pt x="1213443" y="1712336"/>
                    <a:pt x="1364721" y="1469020"/>
                    <a:pt x="1575422" y="1295134"/>
                  </a:cubicBezTo>
                  <a:lnTo>
                    <a:pt x="1653937" y="1240725"/>
                  </a:lnTo>
                  <a:lnTo>
                    <a:pt x="1633894" y="1231070"/>
                  </a:lnTo>
                  <a:cubicBezTo>
                    <a:pt x="1506347" y="1177122"/>
                    <a:pt x="1366116" y="1147290"/>
                    <a:pt x="1218918" y="1147290"/>
                  </a:cubicBezTo>
                  <a:close/>
                  <a:moveTo>
                    <a:pt x="1775189" y="152814"/>
                  </a:moveTo>
                  <a:cubicBezTo>
                    <a:pt x="1259995" y="152814"/>
                    <a:pt x="830155" y="518255"/>
                    <a:pt x="730744" y="1004061"/>
                  </a:cubicBezTo>
                  <a:lnTo>
                    <a:pt x="715456" y="1104237"/>
                  </a:lnTo>
                  <a:lnTo>
                    <a:pt x="744460" y="1090265"/>
                  </a:lnTo>
                  <a:cubicBezTo>
                    <a:pt x="890290" y="1028584"/>
                    <a:pt x="1050621" y="994476"/>
                    <a:pt x="1218919" y="994476"/>
                  </a:cubicBezTo>
                  <a:cubicBezTo>
                    <a:pt x="1429291" y="994476"/>
                    <a:pt x="1627215" y="1047770"/>
                    <a:pt x="1799928" y="1141593"/>
                  </a:cubicBezTo>
                  <a:lnTo>
                    <a:pt x="1806707" y="1145712"/>
                  </a:lnTo>
                  <a:lnTo>
                    <a:pt x="1835682" y="1130650"/>
                  </a:lnTo>
                  <a:cubicBezTo>
                    <a:pt x="1992146" y="1057595"/>
                    <a:pt x="2166692" y="1016792"/>
                    <a:pt x="2350767" y="1016792"/>
                  </a:cubicBezTo>
                  <a:cubicBezTo>
                    <a:pt x="2519065" y="1016792"/>
                    <a:pt x="2679396" y="1050900"/>
                    <a:pt x="2825226" y="1112581"/>
                  </a:cubicBezTo>
                  <a:lnTo>
                    <a:pt x="2836190" y="1117863"/>
                  </a:lnTo>
                  <a:lnTo>
                    <a:pt x="2835789" y="1109915"/>
                  </a:lnTo>
                  <a:cubicBezTo>
                    <a:pt x="2781194" y="572326"/>
                    <a:pt x="2327182" y="152814"/>
                    <a:pt x="1775189" y="152814"/>
                  </a:cubicBezTo>
                  <a:close/>
                  <a:moveTo>
                    <a:pt x="1775189" y="0"/>
                  </a:moveTo>
                  <a:cubicBezTo>
                    <a:pt x="2406306" y="0"/>
                    <a:pt x="2925394" y="479644"/>
                    <a:pt x="2987815" y="1094291"/>
                  </a:cubicBezTo>
                  <a:lnTo>
                    <a:pt x="2993215" y="1201234"/>
                  </a:lnTo>
                  <a:lnTo>
                    <a:pt x="3032277" y="1224964"/>
                  </a:lnTo>
                  <a:cubicBezTo>
                    <a:pt x="3356511" y="1444013"/>
                    <a:pt x="3569686" y="1814967"/>
                    <a:pt x="3569686" y="2235711"/>
                  </a:cubicBezTo>
                  <a:cubicBezTo>
                    <a:pt x="3569686" y="2908901"/>
                    <a:pt x="3023958" y="3454629"/>
                    <a:pt x="2350767" y="3454629"/>
                  </a:cubicBezTo>
                  <a:cubicBezTo>
                    <a:pt x="2153543" y="3454629"/>
                    <a:pt x="1967260" y="3407789"/>
                    <a:pt x="1802434" y="3324626"/>
                  </a:cubicBezTo>
                  <a:lnTo>
                    <a:pt x="1763533" y="3302729"/>
                  </a:lnTo>
                  <a:lnTo>
                    <a:pt x="1693377" y="3336525"/>
                  </a:lnTo>
                  <a:cubicBezTo>
                    <a:pt x="1547548" y="3398205"/>
                    <a:pt x="1387217" y="3432313"/>
                    <a:pt x="1218919" y="3432313"/>
                  </a:cubicBezTo>
                  <a:cubicBezTo>
                    <a:pt x="545728" y="3432313"/>
                    <a:pt x="0" y="2886585"/>
                    <a:pt x="0" y="2213395"/>
                  </a:cubicBezTo>
                  <a:cubicBezTo>
                    <a:pt x="0" y="1792651"/>
                    <a:pt x="213175" y="1421697"/>
                    <a:pt x="537410" y="1202648"/>
                  </a:cubicBezTo>
                  <a:lnTo>
                    <a:pt x="557716" y="1190312"/>
                  </a:lnTo>
                  <a:lnTo>
                    <a:pt x="562564" y="1094291"/>
                  </a:lnTo>
                  <a:cubicBezTo>
                    <a:pt x="624985" y="479644"/>
                    <a:pt x="1144073" y="0"/>
                    <a:pt x="1775189" y="0"/>
                  </a:cubicBezTo>
                  <a:close/>
                </a:path>
              </a:pathLst>
            </a:custGeom>
            <a:solidFill>
              <a:schemeClr val="bg1"/>
            </a:solidFill>
            <a:ln w="1905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7" name="Agrupar 116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0000000-0008-0000-0600-000075000000}"/>
              </a:ext>
            </a:extLst>
          </xdr:cNvPr>
          <xdr:cNvGrpSpPr/>
        </xdr:nvGrpSpPr>
        <xdr:grpSpPr>
          <a:xfrm>
            <a:off x="9747845" y="123825"/>
            <a:ext cx="1201786" cy="243701"/>
            <a:chOff x="8375383" y="88944"/>
            <a:chExt cx="1206101" cy="243701"/>
          </a:xfrm>
        </xdr:grpSpPr>
        <xdr:sp macro="" textlink="">
          <xdr:nvSpPr>
            <xdr:cNvPr id="174" name="Retângulo: Cantos Arredondados 173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00000000-0008-0000-0600-0000AE000000}"/>
                </a:ext>
              </a:extLst>
            </xdr:cNvPr>
            <xdr:cNvSpPr/>
          </xdr:nvSpPr>
          <xdr:spPr>
            <a:xfrm>
              <a:off x="8375383" y="88944"/>
              <a:ext cx="1206101" cy="243701"/>
            </a:xfrm>
            <a:prstGeom prst="roundRect">
              <a:avLst>
                <a:gd name="adj" fmla="val 50000"/>
              </a:avLst>
            </a:prstGeom>
            <a:solidFill>
              <a:schemeClr val="tx1">
                <a:alpha val="20000"/>
              </a:schemeClr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Verificações</a:t>
              </a:r>
            </a:p>
          </xdr:txBody>
        </xdr:sp>
        <xdr:sp macro="" textlink="">
          <xdr:nvSpPr>
            <xdr:cNvPr id="175" name="Forma Livre: Forma 174">
              <a:extLst>
                <a:ext uri="{FF2B5EF4-FFF2-40B4-BE49-F238E27FC236}">
                  <a16:creationId xmlns:a16="http://schemas.microsoft.com/office/drawing/2014/main" id="{00000000-0008-0000-0600-0000AF000000}"/>
                </a:ext>
              </a:extLst>
            </xdr:cNvPr>
            <xdr:cNvSpPr>
              <a:spLocks noChangeAspect="1"/>
            </xdr:cNvSpPr>
          </xdr:nvSpPr>
          <xdr:spPr>
            <a:xfrm>
              <a:off x="8457315" y="108962"/>
              <a:ext cx="135198" cy="180000"/>
            </a:xfrm>
            <a:custGeom>
              <a:avLst/>
              <a:gdLst>
                <a:gd name="connsiteX0" fmla="*/ 1581153 w 2535787"/>
                <a:gd name="connsiteY0" fmla="*/ 2322953 h 3376090"/>
                <a:gd name="connsiteX1" fmla="*/ 1482262 w 2535787"/>
                <a:gd name="connsiteY1" fmla="*/ 2388502 h 3376090"/>
                <a:gd name="connsiteX2" fmla="*/ 1473828 w 2535787"/>
                <a:gd name="connsiteY2" fmla="*/ 2430278 h 3376090"/>
                <a:gd name="connsiteX3" fmla="*/ 1482262 w 2535787"/>
                <a:gd name="connsiteY3" fmla="*/ 2472053 h 3376090"/>
                <a:gd name="connsiteX4" fmla="*/ 1581153 w 2535787"/>
                <a:gd name="connsiteY4" fmla="*/ 2537602 h 3376090"/>
                <a:gd name="connsiteX5" fmla="*/ 2008482 w 2535787"/>
                <a:gd name="connsiteY5" fmla="*/ 2537603 h 3376090"/>
                <a:gd name="connsiteX6" fmla="*/ 2115807 w 2535787"/>
                <a:gd name="connsiteY6" fmla="*/ 2430278 h 3376090"/>
                <a:gd name="connsiteX7" fmla="*/ 2115808 w 2535787"/>
                <a:gd name="connsiteY7" fmla="*/ 2430278 h 3376090"/>
                <a:gd name="connsiteX8" fmla="*/ 2008483 w 2535787"/>
                <a:gd name="connsiteY8" fmla="*/ 2322953 h 3376090"/>
                <a:gd name="connsiteX9" fmla="*/ 1164301 w 2535787"/>
                <a:gd name="connsiteY9" fmla="*/ 2121918 h 3376090"/>
                <a:gd name="connsiteX10" fmla="*/ 1088411 w 2535787"/>
                <a:gd name="connsiteY10" fmla="*/ 2153353 h 3376090"/>
                <a:gd name="connsiteX11" fmla="*/ 744283 w 2535787"/>
                <a:gd name="connsiteY11" fmla="*/ 2497481 h 3376090"/>
                <a:gd name="connsiteX12" fmla="*/ 611461 w 2535787"/>
                <a:gd name="connsiteY12" fmla="*/ 2364660 h 3376090"/>
                <a:gd name="connsiteX13" fmla="*/ 495185 w 2535787"/>
                <a:gd name="connsiteY13" fmla="*/ 2341084 h 3376090"/>
                <a:gd name="connsiteX14" fmla="*/ 459682 w 2535787"/>
                <a:gd name="connsiteY14" fmla="*/ 2364660 h 3376090"/>
                <a:gd name="connsiteX15" fmla="*/ 459682 w 2535787"/>
                <a:gd name="connsiteY15" fmla="*/ 2364659 h 3376090"/>
                <a:gd name="connsiteX16" fmla="*/ 459681 w 2535787"/>
                <a:gd name="connsiteY16" fmla="*/ 2364660 h 3376090"/>
                <a:gd name="connsiteX17" fmla="*/ 459682 w 2535787"/>
                <a:gd name="connsiteY17" fmla="*/ 2364660 h 3376090"/>
                <a:gd name="connsiteX18" fmla="*/ 436106 w 2535787"/>
                <a:gd name="connsiteY18" fmla="*/ 2400163 h 3376090"/>
                <a:gd name="connsiteX19" fmla="*/ 459682 w 2535787"/>
                <a:gd name="connsiteY19" fmla="*/ 2516439 h 3376090"/>
                <a:gd name="connsiteX20" fmla="*/ 668391 w 2535787"/>
                <a:gd name="connsiteY20" fmla="*/ 2725151 h 3376090"/>
                <a:gd name="connsiteX21" fmla="*/ 820172 w 2535787"/>
                <a:gd name="connsiteY21" fmla="*/ 2725151 h 3376090"/>
                <a:gd name="connsiteX22" fmla="*/ 820173 w 2535787"/>
                <a:gd name="connsiteY22" fmla="*/ 2725151 h 3376090"/>
                <a:gd name="connsiteX23" fmla="*/ 820175 w 2535787"/>
                <a:gd name="connsiteY23" fmla="*/ 2725148 h 3376090"/>
                <a:gd name="connsiteX24" fmla="*/ 1240191 w 2535787"/>
                <a:gd name="connsiteY24" fmla="*/ 2305134 h 3376090"/>
                <a:gd name="connsiteX25" fmla="*/ 1240191 w 2535787"/>
                <a:gd name="connsiteY25" fmla="*/ 2153354 h 3376090"/>
                <a:gd name="connsiteX26" fmla="*/ 1240191 w 2535787"/>
                <a:gd name="connsiteY26" fmla="*/ 2153353 h 3376090"/>
                <a:gd name="connsiteX27" fmla="*/ 1164301 w 2535787"/>
                <a:gd name="connsiteY27" fmla="*/ 2121918 h 3376090"/>
                <a:gd name="connsiteX28" fmla="*/ 1581153 w 2535787"/>
                <a:gd name="connsiteY28" fmla="*/ 1473396 h 3376090"/>
                <a:gd name="connsiteX29" fmla="*/ 1482262 w 2535787"/>
                <a:gd name="connsiteY29" fmla="*/ 1538945 h 3376090"/>
                <a:gd name="connsiteX30" fmla="*/ 1473828 w 2535787"/>
                <a:gd name="connsiteY30" fmla="*/ 1580721 h 3376090"/>
                <a:gd name="connsiteX31" fmla="*/ 1482262 w 2535787"/>
                <a:gd name="connsiteY31" fmla="*/ 1622496 h 3376090"/>
                <a:gd name="connsiteX32" fmla="*/ 1581153 w 2535787"/>
                <a:gd name="connsiteY32" fmla="*/ 1688045 h 3376090"/>
                <a:gd name="connsiteX33" fmla="*/ 2008482 w 2535787"/>
                <a:gd name="connsiteY33" fmla="*/ 1688046 h 3376090"/>
                <a:gd name="connsiteX34" fmla="*/ 2115807 w 2535787"/>
                <a:gd name="connsiteY34" fmla="*/ 1580721 h 3376090"/>
                <a:gd name="connsiteX35" fmla="*/ 2115808 w 2535787"/>
                <a:gd name="connsiteY35" fmla="*/ 1580721 h 3376090"/>
                <a:gd name="connsiteX36" fmla="*/ 2008483 w 2535787"/>
                <a:gd name="connsiteY36" fmla="*/ 1473396 h 3376090"/>
                <a:gd name="connsiteX37" fmla="*/ 1164301 w 2535787"/>
                <a:gd name="connsiteY37" fmla="*/ 1272361 h 3376090"/>
                <a:gd name="connsiteX38" fmla="*/ 1088411 w 2535787"/>
                <a:gd name="connsiteY38" fmla="*/ 1303796 h 3376090"/>
                <a:gd name="connsiteX39" fmla="*/ 744283 w 2535787"/>
                <a:gd name="connsiteY39" fmla="*/ 1647924 h 3376090"/>
                <a:gd name="connsiteX40" fmla="*/ 611461 w 2535787"/>
                <a:gd name="connsiteY40" fmla="*/ 1515103 h 3376090"/>
                <a:gd name="connsiteX41" fmla="*/ 495185 w 2535787"/>
                <a:gd name="connsiteY41" fmla="*/ 1491527 h 3376090"/>
                <a:gd name="connsiteX42" fmla="*/ 459682 w 2535787"/>
                <a:gd name="connsiteY42" fmla="*/ 1515103 h 3376090"/>
                <a:gd name="connsiteX43" fmla="*/ 459682 w 2535787"/>
                <a:gd name="connsiteY43" fmla="*/ 1515102 h 3376090"/>
                <a:gd name="connsiteX44" fmla="*/ 459681 w 2535787"/>
                <a:gd name="connsiteY44" fmla="*/ 1515103 h 3376090"/>
                <a:gd name="connsiteX45" fmla="*/ 459682 w 2535787"/>
                <a:gd name="connsiteY45" fmla="*/ 1515103 h 3376090"/>
                <a:gd name="connsiteX46" fmla="*/ 436106 w 2535787"/>
                <a:gd name="connsiteY46" fmla="*/ 1550606 h 3376090"/>
                <a:gd name="connsiteX47" fmla="*/ 459682 w 2535787"/>
                <a:gd name="connsiteY47" fmla="*/ 1666882 h 3376090"/>
                <a:gd name="connsiteX48" fmla="*/ 668391 w 2535787"/>
                <a:gd name="connsiteY48" fmla="*/ 1875593 h 3376090"/>
                <a:gd name="connsiteX49" fmla="*/ 744282 w 2535787"/>
                <a:gd name="connsiteY49" fmla="*/ 1907028 h 3376090"/>
                <a:gd name="connsiteX50" fmla="*/ 744283 w 2535787"/>
                <a:gd name="connsiteY50" fmla="*/ 1907028 h 3376090"/>
                <a:gd name="connsiteX51" fmla="*/ 784669 w 2535787"/>
                <a:gd name="connsiteY51" fmla="*/ 1899169 h 3376090"/>
                <a:gd name="connsiteX52" fmla="*/ 820173 w 2535787"/>
                <a:gd name="connsiteY52" fmla="*/ 1875594 h 3376090"/>
                <a:gd name="connsiteX53" fmla="*/ 820175 w 2535787"/>
                <a:gd name="connsiteY53" fmla="*/ 1875591 h 3376090"/>
                <a:gd name="connsiteX54" fmla="*/ 1240191 w 2535787"/>
                <a:gd name="connsiteY54" fmla="*/ 1455577 h 3376090"/>
                <a:gd name="connsiteX55" fmla="*/ 1240191 w 2535787"/>
                <a:gd name="connsiteY55" fmla="*/ 1303797 h 3376090"/>
                <a:gd name="connsiteX56" fmla="*/ 1240191 w 2535787"/>
                <a:gd name="connsiteY56" fmla="*/ 1303796 h 3376090"/>
                <a:gd name="connsiteX57" fmla="*/ 1164301 w 2535787"/>
                <a:gd name="connsiteY57" fmla="*/ 1272361 h 3376090"/>
                <a:gd name="connsiteX58" fmla="*/ 224519 w 2535787"/>
                <a:gd name="connsiteY58" fmla="*/ 420258 h 3376090"/>
                <a:gd name="connsiteX59" fmla="*/ 419980 w 2535787"/>
                <a:gd name="connsiteY59" fmla="*/ 420258 h 3376090"/>
                <a:gd name="connsiteX60" fmla="*/ 419980 w 2535787"/>
                <a:gd name="connsiteY60" fmla="*/ 745536 h 3376090"/>
                <a:gd name="connsiteX61" fmla="*/ 727582 w 2535787"/>
                <a:gd name="connsiteY61" fmla="*/ 1053138 h 3376090"/>
                <a:gd name="connsiteX62" fmla="*/ 1808205 w 2535787"/>
                <a:gd name="connsiteY62" fmla="*/ 1053138 h 3376090"/>
                <a:gd name="connsiteX63" fmla="*/ 2115807 w 2535787"/>
                <a:gd name="connsiteY63" fmla="*/ 745536 h 3376090"/>
                <a:gd name="connsiteX64" fmla="*/ 2115807 w 2535787"/>
                <a:gd name="connsiteY64" fmla="*/ 420258 h 3376090"/>
                <a:gd name="connsiteX65" fmla="*/ 2311268 w 2535787"/>
                <a:gd name="connsiteY65" fmla="*/ 420258 h 3376090"/>
                <a:gd name="connsiteX66" fmla="*/ 2535787 w 2535787"/>
                <a:gd name="connsiteY66" fmla="*/ 644777 h 3376090"/>
                <a:gd name="connsiteX67" fmla="*/ 2535787 w 2535787"/>
                <a:gd name="connsiteY67" fmla="*/ 3151571 h 3376090"/>
                <a:gd name="connsiteX68" fmla="*/ 2311268 w 2535787"/>
                <a:gd name="connsiteY68" fmla="*/ 3376090 h 3376090"/>
                <a:gd name="connsiteX69" fmla="*/ 224519 w 2535787"/>
                <a:gd name="connsiteY69" fmla="*/ 3376090 h 3376090"/>
                <a:gd name="connsiteX70" fmla="*/ 0 w 2535787"/>
                <a:gd name="connsiteY70" fmla="*/ 3151571 h 3376090"/>
                <a:gd name="connsiteX71" fmla="*/ 0 w 2535787"/>
                <a:gd name="connsiteY71" fmla="*/ 644777 h 3376090"/>
                <a:gd name="connsiteX72" fmla="*/ 224519 w 2535787"/>
                <a:gd name="connsiteY72" fmla="*/ 420258 h 3376090"/>
                <a:gd name="connsiteX73" fmla="*/ 1267893 w 2535787"/>
                <a:gd name="connsiteY73" fmla="*/ 0 h 3376090"/>
                <a:gd name="connsiteX74" fmla="*/ 1559466 w 2535787"/>
                <a:gd name="connsiteY74" fmla="*/ 193267 h 3376090"/>
                <a:gd name="connsiteX75" fmla="*/ 1566164 w 2535787"/>
                <a:gd name="connsiteY75" fmla="*/ 214845 h 3376090"/>
                <a:gd name="connsiteX76" fmla="*/ 1796853 w 2535787"/>
                <a:gd name="connsiteY76" fmla="*/ 214845 h 3376090"/>
                <a:gd name="connsiteX77" fmla="*/ 1902335 w 2535787"/>
                <a:gd name="connsiteY77" fmla="*/ 320327 h 3376090"/>
                <a:gd name="connsiteX78" fmla="*/ 1902335 w 2535787"/>
                <a:gd name="connsiteY78" fmla="*/ 742243 h 3376090"/>
                <a:gd name="connsiteX79" fmla="*/ 1796853 w 2535787"/>
                <a:gd name="connsiteY79" fmla="*/ 847725 h 3376090"/>
                <a:gd name="connsiteX80" fmla="*/ 738934 w 2535787"/>
                <a:gd name="connsiteY80" fmla="*/ 847725 h 3376090"/>
                <a:gd name="connsiteX81" fmla="*/ 633452 w 2535787"/>
                <a:gd name="connsiteY81" fmla="*/ 742243 h 3376090"/>
                <a:gd name="connsiteX82" fmla="*/ 633452 w 2535787"/>
                <a:gd name="connsiteY82" fmla="*/ 320327 h 3376090"/>
                <a:gd name="connsiteX83" fmla="*/ 738934 w 2535787"/>
                <a:gd name="connsiteY83" fmla="*/ 214845 h 3376090"/>
                <a:gd name="connsiteX84" fmla="*/ 969623 w 2535787"/>
                <a:gd name="connsiteY84" fmla="*/ 214845 h 3376090"/>
                <a:gd name="connsiteX85" fmla="*/ 976321 w 2535787"/>
                <a:gd name="connsiteY85" fmla="*/ 193267 h 3376090"/>
                <a:gd name="connsiteX86" fmla="*/ 1267893 w 2535787"/>
                <a:gd name="connsiteY86" fmla="*/ 0 h 33760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</a:cxnLst>
              <a:rect l="l" t="t" r="r" b="b"/>
              <a:pathLst>
                <a:path w="2535787" h="3376090">
                  <a:moveTo>
                    <a:pt x="1581153" y="2322953"/>
                  </a:moveTo>
                  <a:cubicBezTo>
                    <a:pt x="1536698" y="2322953"/>
                    <a:pt x="1498555" y="2349982"/>
                    <a:pt x="1482262" y="2388502"/>
                  </a:cubicBezTo>
                  <a:lnTo>
                    <a:pt x="1473828" y="2430278"/>
                  </a:lnTo>
                  <a:lnTo>
                    <a:pt x="1482262" y="2472053"/>
                  </a:lnTo>
                  <a:cubicBezTo>
                    <a:pt x="1498555" y="2510574"/>
                    <a:pt x="1536698" y="2537602"/>
                    <a:pt x="1581153" y="2537602"/>
                  </a:cubicBezTo>
                  <a:lnTo>
                    <a:pt x="2008482" y="2537603"/>
                  </a:lnTo>
                  <a:cubicBezTo>
                    <a:pt x="2067756" y="2537603"/>
                    <a:pt x="2115807" y="2489552"/>
                    <a:pt x="2115807" y="2430278"/>
                  </a:cubicBezTo>
                  <a:lnTo>
                    <a:pt x="2115808" y="2430278"/>
                  </a:lnTo>
                  <a:cubicBezTo>
                    <a:pt x="2115808" y="2371004"/>
                    <a:pt x="2067757" y="2322953"/>
                    <a:pt x="2008483" y="2322953"/>
                  </a:cubicBezTo>
                  <a:close/>
                  <a:moveTo>
                    <a:pt x="1164301" y="2121918"/>
                  </a:moveTo>
                  <a:cubicBezTo>
                    <a:pt x="1136834" y="2121918"/>
                    <a:pt x="1109368" y="2132397"/>
                    <a:pt x="1088411" y="2153353"/>
                  </a:cubicBezTo>
                  <a:lnTo>
                    <a:pt x="744283" y="2497481"/>
                  </a:lnTo>
                  <a:lnTo>
                    <a:pt x="611461" y="2364660"/>
                  </a:lnTo>
                  <a:cubicBezTo>
                    <a:pt x="580026" y="2333225"/>
                    <a:pt x="533944" y="2325367"/>
                    <a:pt x="495185" y="2341084"/>
                  </a:cubicBezTo>
                  <a:lnTo>
                    <a:pt x="459682" y="2364660"/>
                  </a:lnTo>
                  <a:lnTo>
                    <a:pt x="459682" y="2364659"/>
                  </a:lnTo>
                  <a:lnTo>
                    <a:pt x="459681" y="2364660"/>
                  </a:lnTo>
                  <a:lnTo>
                    <a:pt x="459682" y="2364660"/>
                  </a:lnTo>
                  <a:lnTo>
                    <a:pt x="436106" y="2400163"/>
                  </a:lnTo>
                  <a:cubicBezTo>
                    <a:pt x="420389" y="2438922"/>
                    <a:pt x="428247" y="2485004"/>
                    <a:pt x="459682" y="2516439"/>
                  </a:cubicBezTo>
                  <a:lnTo>
                    <a:pt x="668391" y="2725151"/>
                  </a:lnTo>
                  <a:cubicBezTo>
                    <a:pt x="710304" y="2767064"/>
                    <a:pt x="778259" y="2767064"/>
                    <a:pt x="820172" y="2725151"/>
                  </a:cubicBezTo>
                  <a:lnTo>
                    <a:pt x="820173" y="2725151"/>
                  </a:lnTo>
                  <a:lnTo>
                    <a:pt x="820175" y="2725148"/>
                  </a:lnTo>
                  <a:lnTo>
                    <a:pt x="1240191" y="2305134"/>
                  </a:lnTo>
                  <a:cubicBezTo>
                    <a:pt x="1282104" y="2263221"/>
                    <a:pt x="1282104" y="2195267"/>
                    <a:pt x="1240191" y="2153354"/>
                  </a:cubicBezTo>
                  <a:lnTo>
                    <a:pt x="1240191" y="2153353"/>
                  </a:lnTo>
                  <a:cubicBezTo>
                    <a:pt x="1219235" y="2132397"/>
                    <a:pt x="1191768" y="2121918"/>
                    <a:pt x="1164301" y="2121918"/>
                  </a:cubicBezTo>
                  <a:close/>
                  <a:moveTo>
                    <a:pt x="1581153" y="1473396"/>
                  </a:moveTo>
                  <a:cubicBezTo>
                    <a:pt x="1536698" y="1473396"/>
                    <a:pt x="1498555" y="1500425"/>
                    <a:pt x="1482262" y="1538945"/>
                  </a:cubicBezTo>
                  <a:lnTo>
                    <a:pt x="1473828" y="1580721"/>
                  </a:lnTo>
                  <a:lnTo>
                    <a:pt x="1482262" y="1622496"/>
                  </a:lnTo>
                  <a:cubicBezTo>
                    <a:pt x="1498555" y="1661016"/>
                    <a:pt x="1536698" y="1688045"/>
                    <a:pt x="1581153" y="1688045"/>
                  </a:cubicBezTo>
                  <a:lnTo>
                    <a:pt x="2008482" y="1688046"/>
                  </a:lnTo>
                  <a:cubicBezTo>
                    <a:pt x="2067756" y="1688046"/>
                    <a:pt x="2115807" y="1639995"/>
                    <a:pt x="2115807" y="1580721"/>
                  </a:cubicBezTo>
                  <a:lnTo>
                    <a:pt x="2115808" y="1580721"/>
                  </a:lnTo>
                  <a:cubicBezTo>
                    <a:pt x="2115808" y="1521447"/>
                    <a:pt x="2067757" y="1473396"/>
                    <a:pt x="2008483" y="1473396"/>
                  </a:cubicBezTo>
                  <a:close/>
                  <a:moveTo>
                    <a:pt x="1164301" y="1272361"/>
                  </a:moveTo>
                  <a:cubicBezTo>
                    <a:pt x="1136834" y="1272361"/>
                    <a:pt x="1109368" y="1282840"/>
                    <a:pt x="1088411" y="1303796"/>
                  </a:cubicBezTo>
                  <a:lnTo>
                    <a:pt x="744283" y="1647924"/>
                  </a:lnTo>
                  <a:lnTo>
                    <a:pt x="611461" y="1515103"/>
                  </a:lnTo>
                  <a:cubicBezTo>
                    <a:pt x="580026" y="1483668"/>
                    <a:pt x="533944" y="1475810"/>
                    <a:pt x="495185" y="1491527"/>
                  </a:cubicBezTo>
                  <a:lnTo>
                    <a:pt x="459682" y="1515103"/>
                  </a:lnTo>
                  <a:lnTo>
                    <a:pt x="459682" y="1515102"/>
                  </a:lnTo>
                  <a:lnTo>
                    <a:pt x="459681" y="1515103"/>
                  </a:lnTo>
                  <a:lnTo>
                    <a:pt x="459682" y="1515103"/>
                  </a:lnTo>
                  <a:lnTo>
                    <a:pt x="436106" y="1550606"/>
                  </a:lnTo>
                  <a:cubicBezTo>
                    <a:pt x="420389" y="1589365"/>
                    <a:pt x="428247" y="1635447"/>
                    <a:pt x="459682" y="1666882"/>
                  </a:cubicBezTo>
                  <a:lnTo>
                    <a:pt x="668391" y="1875593"/>
                  </a:lnTo>
                  <a:cubicBezTo>
                    <a:pt x="689348" y="1896550"/>
                    <a:pt x="716815" y="1907028"/>
                    <a:pt x="744282" y="1907028"/>
                  </a:cubicBezTo>
                  <a:lnTo>
                    <a:pt x="744283" y="1907028"/>
                  </a:lnTo>
                  <a:cubicBezTo>
                    <a:pt x="758017" y="1907028"/>
                    <a:pt x="771750" y="1904408"/>
                    <a:pt x="784669" y="1899169"/>
                  </a:cubicBezTo>
                  <a:lnTo>
                    <a:pt x="820173" y="1875594"/>
                  </a:lnTo>
                  <a:lnTo>
                    <a:pt x="820175" y="1875591"/>
                  </a:lnTo>
                  <a:lnTo>
                    <a:pt x="1240191" y="1455577"/>
                  </a:lnTo>
                  <a:cubicBezTo>
                    <a:pt x="1282104" y="1413664"/>
                    <a:pt x="1282104" y="1345710"/>
                    <a:pt x="1240191" y="1303797"/>
                  </a:cubicBezTo>
                  <a:lnTo>
                    <a:pt x="1240191" y="1303796"/>
                  </a:lnTo>
                  <a:cubicBezTo>
                    <a:pt x="1219235" y="1282840"/>
                    <a:pt x="1191768" y="1272361"/>
                    <a:pt x="1164301" y="1272361"/>
                  </a:cubicBezTo>
                  <a:close/>
                  <a:moveTo>
                    <a:pt x="224519" y="420258"/>
                  </a:moveTo>
                  <a:lnTo>
                    <a:pt x="419980" y="420258"/>
                  </a:lnTo>
                  <a:lnTo>
                    <a:pt x="419980" y="745536"/>
                  </a:lnTo>
                  <a:cubicBezTo>
                    <a:pt x="419980" y="915420"/>
                    <a:pt x="557698" y="1053138"/>
                    <a:pt x="727582" y="1053138"/>
                  </a:cubicBezTo>
                  <a:lnTo>
                    <a:pt x="1808205" y="1053138"/>
                  </a:lnTo>
                  <a:cubicBezTo>
                    <a:pt x="1978089" y="1053138"/>
                    <a:pt x="2115807" y="915420"/>
                    <a:pt x="2115807" y="745536"/>
                  </a:cubicBezTo>
                  <a:lnTo>
                    <a:pt x="2115807" y="420258"/>
                  </a:lnTo>
                  <a:lnTo>
                    <a:pt x="2311268" y="420258"/>
                  </a:lnTo>
                  <a:cubicBezTo>
                    <a:pt x="2435266" y="420258"/>
                    <a:pt x="2535787" y="520779"/>
                    <a:pt x="2535787" y="644777"/>
                  </a:cubicBezTo>
                  <a:lnTo>
                    <a:pt x="2535787" y="3151571"/>
                  </a:lnTo>
                  <a:cubicBezTo>
                    <a:pt x="2535787" y="3275569"/>
                    <a:pt x="2435266" y="3376090"/>
                    <a:pt x="2311268" y="3376090"/>
                  </a:cubicBezTo>
                  <a:lnTo>
                    <a:pt x="224519" y="3376090"/>
                  </a:lnTo>
                  <a:cubicBezTo>
                    <a:pt x="100521" y="3376090"/>
                    <a:pt x="0" y="3275569"/>
                    <a:pt x="0" y="3151571"/>
                  </a:cubicBezTo>
                  <a:lnTo>
                    <a:pt x="0" y="644777"/>
                  </a:lnTo>
                  <a:cubicBezTo>
                    <a:pt x="0" y="520779"/>
                    <a:pt x="100521" y="420258"/>
                    <a:pt x="224519" y="420258"/>
                  </a:cubicBezTo>
                  <a:close/>
                  <a:moveTo>
                    <a:pt x="1267893" y="0"/>
                  </a:moveTo>
                  <a:cubicBezTo>
                    <a:pt x="1398967" y="0"/>
                    <a:pt x="1511428" y="79692"/>
                    <a:pt x="1559466" y="193267"/>
                  </a:cubicBezTo>
                  <a:lnTo>
                    <a:pt x="1566164" y="214845"/>
                  </a:lnTo>
                  <a:lnTo>
                    <a:pt x="1796853" y="214845"/>
                  </a:lnTo>
                  <a:cubicBezTo>
                    <a:pt x="1855109" y="214845"/>
                    <a:pt x="1902335" y="262071"/>
                    <a:pt x="1902335" y="320327"/>
                  </a:cubicBezTo>
                  <a:lnTo>
                    <a:pt x="1902335" y="742243"/>
                  </a:lnTo>
                  <a:cubicBezTo>
                    <a:pt x="1902335" y="800499"/>
                    <a:pt x="1855109" y="847725"/>
                    <a:pt x="1796853" y="847725"/>
                  </a:cubicBezTo>
                  <a:lnTo>
                    <a:pt x="738934" y="847725"/>
                  </a:lnTo>
                  <a:cubicBezTo>
                    <a:pt x="680678" y="847725"/>
                    <a:pt x="633452" y="800499"/>
                    <a:pt x="633452" y="742243"/>
                  </a:cubicBezTo>
                  <a:lnTo>
                    <a:pt x="633452" y="320327"/>
                  </a:lnTo>
                  <a:cubicBezTo>
                    <a:pt x="633452" y="262071"/>
                    <a:pt x="680678" y="214845"/>
                    <a:pt x="738934" y="214845"/>
                  </a:cubicBezTo>
                  <a:lnTo>
                    <a:pt x="969623" y="214845"/>
                  </a:lnTo>
                  <a:lnTo>
                    <a:pt x="976321" y="193267"/>
                  </a:lnTo>
                  <a:cubicBezTo>
                    <a:pt x="1024359" y="79692"/>
                    <a:pt x="1136820" y="0"/>
                    <a:pt x="1267893" y="0"/>
                  </a:cubicBezTo>
                  <a:close/>
                </a:path>
              </a:pathLst>
            </a:custGeom>
            <a:noFill/>
            <a:ln w="9525" cap="rnd">
              <a:solidFill>
                <a:schemeClr val="bg1"/>
              </a:solidFill>
              <a:round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8" name="Agrupar 117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00000000-0008-0000-0600-000076000000}"/>
              </a:ext>
            </a:extLst>
          </xdr:cNvPr>
          <xdr:cNvGrpSpPr/>
        </xdr:nvGrpSpPr>
        <xdr:grpSpPr>
          <a:xfrm>
            <a:off x="11195664" y="123825"/>
            <a:ext cx="999327" cy="243701"/>
            <a:chOff x="9765034" y="104252"/>
            <a:chExt cx="999581" cy="243701"/>
          </a:xfrm>
        </xdr:grpSpPr>
        <xdr:sp macro="" textlink="">
          <xdr:nvSpPr>
            <xdr:cNvPr id="172" name="Retângulo: Cantos Arredondados 171">
              <a:extLst>
                <a:ext uri="{FF2B5EF4-FFF2-40B4-BE49-F238E27FC236}">
                  <a16:creationId xmlns:a16="http://schemas.microsoft.com/office/drawing/2014/main" id="{00000000-0008-0000-0600-0000AC000000}"/>
                </a:ext>
              </a:extLst>
            </xdr:cNvPr>
            <xdr:cNvSpPr/>
          </xdr:nvSpPr>
          <xdr:spPr>
            <a:xfrm>
              <a:off x="9765034" y="104252"/>
              <a:ext cx="999581" cy="243701"/>
            </a:xfrm>
            <a:prstGeom prst="roundRect">
              <a:avLst>
                <a:gd name="adj" fmla="val 50000"/>
              </a:avLst>
            </a:prstGeom>
            <a:solidFill>
              <a:srgbClr val="FD3F0B"/>
            </a:solidFill>
            <a:ln>
              <a:noFill/>
            </a:ln>
            <a:effectLst>
              <a:outerShdw blurRad="304800" sx="105000" sy="105000" algn="ctr" rotWithShape="0">
                <a:srgbClr val="FB510D">
                  <a:alpha val="54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tIns="468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Ligações</a:t>
              </a:r>
            </a:p>
          </xdr:txBody>
        </xdr:sp>
        <xdr:sp macro="" textlink="">
          <xdr:nvSpPr>
            <xdr:cNvPr id="173" name="Forma Livre: Forma 172">
              <a:extLst>
                <a:ext uri="{FF2B5EF4-FFF2-40B4-BE49-F238E27FC236}">
                  <a16:creationId xmlns:a16="http://schemas.microsoft.com/office/drawing/2014/main" id="{00000000-0008-0000-0600-0000AD000000}"/>
                </a:ext>
              </a:extLst>
            </xdr:cNvPr>
            <xdr:cNvSpPr>
              <a:spLocks noChangeAspect="1"/>
            </xdr:cNvSpPr>
          </xdr:nvSpPr>
          <xdr:spPr>
            <a:xfrm>
              <a:off x="9810751" y="133349"/>
              <a:ext cx="180000" cy="180000"/>
            </a:xfrm>
            <a:custGeom>
              <a:avLst/>
              <a:gdLst>
                <a:gd name="connsiteX0" fmla="*/ 2123136 w 4250872"/>
                <a:gd name="connsiteY0" fmla="*/ 2070418 h 4250872"/>
                <a:gd name="connsiteX1" fmla="*/ 2154685 w 4250872"/>
                <a:gd name="connsiteY1" fmla="*/ 2096189 h 4250872"/>
                <a:gd name="connsiteX2" fmla="*/ 2170560 w 4250872"/>
                <a:gd name="connsiteY2" fmla="*/ 2115622 h 4250872"/>
                <a:gd name="connsiteX3" fmla="*/ 2139010 w 4250872"/>
                <a:gd name="connsiteY3" fmla="*/ 2089852 h 4250872"/>
                <a:gd name="connsiteX4" fmla="*/ 1601747 w 4250872"/>
                <a:gd name="connsiteY4" fmla="*/ 1799924 h 4250872"/>
                <a:gd name="connsiteX5" fmla="*/ 1590811 w 4250872"/>
                <a:gd name="connsiteY5" fmla="*/ 1836827 h 4250872"/>
                <a:gd name="connsiteX6" fmla="*/ 1590811 w 4250872"/>
                <a:gd name="connsiteY6" fmla="*/ 2104985 h 4250872"/>
                <a:gd name="connsiteX7" fmla="*/ 1624149 w 4250872"/>
                <a:gd name="connsiteY7" fmla="*/ 2217478 h 4250872"/>
                <a:gd name="connsiteX8" fmla="*/ 1202591 w 4250872"/>
                <a:gd name="connsiteY8" fmla="*/ 2639037 h 4250872"/>
                <a:gd name="connsiteX9" fmla="*/ 1202591 w 4250872"/>
                <a:gd name="connsiteY9" fmla="*/ 3048283 h 4250872"/>
                <a:gd name="connsiteX10" fmla="*/ 1611837 w 4250872"/>
                <a:gd name="connsiteY10" fmla="*/ 3048283 h 4250872"/>
                <a:gd name="connsiteX11" fmla="*/ 2033396 w 4250872"/>
                <a:gd name="connsiteY11" fmla="*/ 2626725 h 4250872"/>
                <a:gd name="connsiteX12" fmla="*/ 2102651 w 4250872"/>
                <a:gd name="connsiteY12" fmla="*/ 2557470 h 4250872"/>
                <a:gd name="connsiteX13" fmla="*/ 2158846 w 4250872"/>
                <a:gd name="connsiteY13" fmla="*/ 2574124 h 4250872"/>
                <a:gd name="connsiteX14" fmla="*/ 2504731 w 4250872"/>
                <a:gd name="connsiteY14" fmla="*/ 2540640 h 4250872"/>
                <a:gd name="connsiteX15" fmla="*/ 2519089 w 4250872"/>
                <a:gd name="connsiteY15" fmla="*/ 2533084 h 4250872"/>
                <a:gd name="connsiteX16" fmla="*/ 2470838 w 4250872"/>
                <a:gd name="connsiteY16" fmla="*/ 2624776 h 4250872"/>
                <a:gd name="connsiteX17" fmla="*/ 2450947 w 4250872"/>
                <a:gd name="connsiteY17" fmla="*/ 2649129 h 4250872"/>
                <a:gd name="connsiteX18" fmla="*/ 2392710 w 4250872"/>
                <a:gd name="connsiteY18" fmla="*/ 2720423 h 4250872"/>
                <a:gd name="connsiteX19" fmla="*/ 1826826 w 4250872"/>
                <a:gd name="connsiteY19" fmla="*/ 3286306 h 4250872"/>
                <a:gd name="connsiteX20" fmla="*/ 1060213 w 4250872"/>
                <a:gd name="connsiteY20" fmla="*/ 3364435 h 4250872"/>
                <a:gd name="connsiteX21" fmla="*/ 964566 w 4250872"/>
                <a:gd name="connsiteY21" fmla="*/ 3286306 h 4250872"/>
                <a:gd name="connsiteX22" fmla="*/ 886438 w 4250872"/>
                <a:gd name="connsiteY22" fmla="*/ 3190660 h 4250872"/>
                <a:gd name="connsiteX23" fmla="*/ 964567 w 4250872"/>
                <a:gd name="connsiteY23" fmla="*/ 2424047 h 4250872"/>
                <a:gd name="connsiteX24" fmla="*/ 1530449 w 4250872"/>
                <a:gd name="connsiteY24" fmla="*/ 1858164 h 4250872"/>
                <a:gd name="connsiteX25" fmla="*/ 2199462 w 4250872"/>
                <a:gd name="connsiteY25" fmla="*/ 1728672 h 4250872"/>
                <a:gd name="connsiteX26" fmla="*/ 2297062 w 4250872"/>
                <a:gd name="connsiteY26" fmla="*/ 1780034 h 4250872"/>
                <a:gd name="connsiteX27" fmla="*/ 2392709 w 4250872"/>
                <a:gd name="connsiteY27" fmla="*/ 1858163 h 4250872"/>
                <a:gd name="connsiteX28" fmla="*/ 2392710 w 4250872"/>
                <a:gd name="connsiteY28" fmla="*/ 1858162 h 4250872"/>
                <a:gd name="connsiteX29" fmla="*/ 2470839 w 4250872"/>
                <a:gd name="connsiteY29" fmla="*/ 1953809 h 4250872"/>
                <a:gd name="connsiteX30" fmla="*/ 2507023 w 4250872"/>
                <a:gd name="connsiteY30" fmla="*/ 2022568 h 4250872"/>
                <a:gd name="connsiteX31" fmla="*/ 2526645 w 4250872"/>
                <a:gd name="connsiteY31" fmla="*/ 2059857 h 4250872"/>
                <a:gd name="connsiteX32" fmla="*/ 2543475 w 4250872"/>
                <a:gd name="connsiteY32" fmla="*/ 2116644 h 4250872"/>
                <a:gd name="connsiteX33" fmla="*/ 2560128 w 4250872"/>
                <a:gd name="connsiteY33" fmla="*/ 2172840 h 4250872"/>
                <a:gd name="connsiteX34" fmla="*/ 2526644 w 4250872"/>
                <a:gd name="connsiteY34" fmla="*/ 2518725 h 4250872"/>
                <a:gd name="connsiteX35" fmla="*/ 2519089 w 4250872"/>
                <a:gd name="connsiteY35" fmla="*/ 2533083 h 4250872"/>
                <a:gd name="connsiteX36" fmla="*/ 2504731 w 4250872"/>
                <a:gd name="connsiteY36" fmla="*/ 2540638 h 4250872"/>
                <a:gd name="connsiteX37" fmla="*/ 2158846 w 4250872"/>
                <a:gd name="connsiteY37" fmla="*/ 2574122 h 4250872"/>
                <a:gd name="connsiteX38" fmla="*/ 2102651 w 4250872"/>
                <a:gd name="connsiteY38" fmla="*/ 2557468 h 4250872"/>
                <a:gd name="connsiteX39" fmla="*/ 2154685 w 4250872"/>
                <a:gd name="connsiteY39" fmla="*/ 2505434 h 4250872"/>
                <a:gd name="connsiteX40" fmla="*/ 2234146 w 4250872"/>
                <a:gd name="connsiteY40" fmla="*/ 2245541 h 4250872"/>
                <a:gd name="connsiteX41" fmla="*/ 2232196 w 4250872"/>
                <a:gd name="connsiteY41" fmla="*/ 2238963 h 4250872"/>
                <a:gd name="connsiteX42" fmla="*/ 2218254 w 4250872"/>
                <a:gd name="connsiteY42" fmla="*/ 2191917 h 4250872"/>
                <a:gd name="connsiteX43" fmla="*/ 2191767 w 4250872"/>
                <a:gd name="connsiteY43" fmla="*/ 2141583 h 4250872"/>
                <a:gd name="connsiteX44" fmla="*/ 2170560 w 4250872"/>
                <a:gd name="connsiteY44" fmla="*/ 2115620 h 4250872"/>
                <a:gd name="connsiteX45" fmla="*/ 2170561 w 4250872"/>
                <a:gd name="connsiteY45" fmla="*/ 2115621 h 4250872"/>
                <a:gd name="connsiteX46" fmla="*/ 2154686 w 4250872"/>
                <a:gd name="connsiteY46" fmla="*/ 2096188 h 4250872"/>
                <a:gd name="connsiteX47" fmla="*/ 2123136 w 4250872"/>
                <a:gd name="connsiteY47" fmla="*/ 2070417 h 4250872"/>
                <a:gd name="connsiteX48" fmla="*/ 2111763 w 4250872"/>
                <a:gd name="connsiteY48" fmla="*/ 2056493 h 4250872"/>
                <a:gd name="connsiteX49" fmla="*/ 2139011 w 4250872"/>
                <a:gd name="connsiteY49" fmla="*/ 1789123 h 4250872"/>
                <a:gd name="connsiteX50" fmla="*/ 1990827 w 4250872"/>
                <a:gd name="connsiteY50" fmla="*/ 1680281 h 4250872"/>
                <a:gd name="connsiteX51" fmla="*/ 2078030 w 4250872"/>
                <a:gd name="connsiteY51" fmla="*/ 1690745 h 4250872"/>
                <a:gd name="connsiteX52" fmla="*/ 2134228 w 4250872"/>
                <a:gd name="connsiteY52" fmla="*/ 1707399 h 4250872"/>
                <a:gd name="connsiteX53" fmla="*/ 2089421 w 4250872"/>
                <a:gd name="connsiteY53" fmla="*/ 1752206 h 4250872"/>
                <a:gd name="connsiteX54" fmla="*/ 2009960 w 4250872"/>
                <a:gd name="connsiteY54" fmla="*/ 2012100 h 4250872"/>
                <a:gd name="connsiteX55" fmla="*/ 2011910 w 4250872"/>
                <a:gd name="connsiteY55" fmla="*/ 2018676 h 4250872"/>
                <a:gd name="connsiteX56" fmla="*/ 2011910 w 4250872"/>
                <a:gd name="connsiteY56" fmla="*/ 2018677 h 4250872"/>
                <a:gd name="connsiteX57" fmla="*/ 2025853 w 4250872"/>
                <a:gd name="connsiteY57" fmla="*/ 2065723 h 4250872"/>
                <a:gd name="connsiteX58" fmla="*/ 2052340 w 4250872"/>
                <a:gd name="connsiteY58" fmla="*/ 2116056 h 4250872"/>
                <a:gd name="connsiteX59" fmla="*/ 2089419 w 4250872"/>
                <a:gd name="connsiteY59" fmla="*/ 2161450 h 4250872"/>
                <a:gd name="connsiteX60" fmla="*/ 2089422 w 4250872"/>
                <a:gd name="connsiteY60" fmla="*/ 2161452 h 4250872"/>
                <a:gd name="connsiteX61" fmla="*/ 2089424 w 4250872"/>
                <a:gd name="connsiteY61" fmla="*/ 2161455 h 4250872"/>
                <a:gd name="connsiteX62" fmla="*/ 2132715 w 4250872"/>
                <a:gd name="connsiteY62" fmla="*/ 2226648 h 4250872"/>
                <a:gd name="connsiteX63" fmla="*/ 2089423 w 4250872"/>
                <a:gd name="connsiteY63" fmla="*/ 2440168 h 4250872"/>
                <a:gd name="connsiteX64" fmla="*/ 2008575 w 4250872"/>
                <a:gd name="connsiteY64" fmla="*/ 2521016 h 4250872"/>
                <a:gd name="connsiteX65" fmla="*/ 1939815 w 4250872"/>
                <a:gd name="connsiteY65" fmla="*/ 2484833 h 4250872"/>
                <a:gd name="connsiteX66" fmla="*/ 1844168 w 4250872"/>
                <a:gd name="connsiteY66" fmla="*/ 2406704 h 4250872"/>
                <a:gd name="connsiteX67" fmla="*/ 1766040 w 4250872"/>
                <a:gd name="connsiteY67" fmla="*/ 2311058 h 4250872"/>
                <a:gd name="connsiteX68" fmla="*/ 1729857 w 4250872"/>
                <a:gd name="connsiteY68" fmla="*/ 2242300 h 4250872"/>
                <a:gd name="connsiteX69" fmla="*/ 1710234 w 4250872"/>
                <a:gd name="connsiteY69" fmla="*/ 2205009 h 4250872"/>
                <a:gd name="connsiteX70" fmla="*/ 1693404 w 4250872"/>
                <a:gd name="connsiteY70" fmla="*/ 2148223 h 4250872"/>
                <a:gd name="connsiteX71" fmla="*/ 1693403 w 4250872"/>
                <a:gd name="connsiteY71" fmla="*/ 2148224 h 4250872"/>
                <a:gd name="connsiteX72" fmla="*/ 1676749 w 4250872"/>
                <a:gd name="connsiteY72" fmla="*/ 2092027 h 4250872"/>
                <a:gd name="connsiteX73" fmla="*/ 1710233 w 4250872"/>
                <a:gd name="connsiteY73" fmla="*/ 1746141 h 4250872"/>
                <a:gd name="connsiteX74" fmla="*/ 1717788 w 4250872"/>
                <a:gd name="connsiteY74" fmla="*/ 1731782 h 4250872"/>
                <a:gd name="connsiteX75" fmla="*/ 1732144 w 4250872"/>
                <a:gd name="connsiteY75" fmla="*/ 1724228 h 4250872"/>
                <a:gd name="connsiteX76" fmla="*/ 1990827 w 4250872"/>
                <a:gd name="connsiteY76" fmla="*/ 1680281 h 4250872"/>
                <a:gd name="connsiteX77" fmla="*/ 2855175 w 4250872"/>
                <a:gd name="connsiteY77" fmla="*/ 785987 h 4250872"/>
                <a:gd name="connsiteX78" fmla="*/ 3286305 w 4250872"/>
                <a:gd name="connsiteY78" fmla="*/ 964567 h 4250872"/>
                <a:gd name="connsiteX79" fmla="*/ 3286306 w 4250872"/>
                <a:gd name="connsiteY79" fmla="*/ 964566 h 4250872"/>
                <a:gd name="connsiteX80" fmla="*/ 3286306 w 4250872"/>
                <a:gd name="connsiteY80" fmla="*/ 1826826 h 4250872"/>
                <a:gd name="connsiteX81" fmla="*/ 2706427 w 4250872"/>
                <a:gd name="connsiteY81" fmla="*/ 2406705 h 4250872"/>
                <a:gd name="connsiteX82" fmla="*/ 2632339 w 4250872"/>
                <a:gd name="connsiteY82" fmla="*/ 2467223 h 4250872"/>
                <a:gd name="connsiteX83" fmla="*/ 2643060 w 4250872"/>
                <a:gd name="connsiteY83" fmla="*/ 2431050 h 4250872"/>
                <a:gd name="connsiteX84" fmla="*/ 2643060 w 4250872"/>
                <a:gd name="connsiteY84" fmla="*/ 2162892 h 4250872"/>
                <a:gd name="connsiteX85" fmla="*/ 2609722 w 4250872"/>
                <a:gd name="connsiteY85" fmla="*/ 2050399 h 4250872"/>
                <a:gd name="connsiteX86" fmla="*/ 3046620 w 4250872"/>
                <a:gd name="connsiteY86" fmla="*/ 1613500 h 4250872"/>
                <a:gd name="connsiteX87" fmla="*/ 3046620 w 4250872"/>
                <a:gd name="connsiteY87" fmla="*/ 1204254 h 4250872"/>
                <a:gd name="connsiteX88" fmla="*/ 2637374 w 4250872"/>
                <a:gd name="connsiteY88" fmla="*/ 1204254 h 4250872"/>
                <a:gd name="connsiteX89" fmla="*/ 2200475 w 4250872"/>
                <a:gd name="connsiteY89" fmla="*/ 1641152 h 4250872"/>
                <a:gd name="connsiteX90" fmla="*/ 2200474 w 4250872"/>
                <a:gd name="connsiteY90" fmla="*/ 1641151 h 4250872"/>
                <a:gd name="connsiteX91" fmla="*/ 2134228 w 4250872"/>
                <a:gd name="connsiteY91" fmla="*/ 1707398 h 4250872"/>
                <a:gd name="connsiteX92" fmla="*/ 2078029 w 4250872"/>
                <a:gd name="connsiteY92" fmla="*/ 1690744 h 4250872"/>
                <a:gd name="connsiteX93" fmla="*/ 1732143 w 4250872"/>
                <a:gd name="connsiteY93" fmla="*/ 1724227 h 4250872"/>
                <a:gd name="connsiteX94" fmla="*/ 1717787 w 4250872"/>
                <a:gd name="connsiteY94" fmla="*/ 1731781 h 4250872"/>
                <a:gd name="connsiteX95" fmla="*/ 1766039 w 4250872"/>
                <a:gd name="connsiteY95" fmla="*/ 1640092 h 4250872"/>
                <a:gd name="connsiteX96" fmla="*/ 1783649 w 4250872"/>
                <a:gd name="connsiteY96" fmla="*/ 1618534 h 4250872"/>
                <a:gd name="connsiteX97" fmla="*/ 1783651 w 4250872"/>
                <a:gd name="connsiteY97" fmla="*/ 1618533 h 4250872"/>
                <a:gd name="connsiteX98" fmla="*/ 1844168 w 4250872"/>
                <a:gd name="connsiteY98" fmla="*/ 1544446 h 4250872"/>
                <a:gd name="connsiteX99" fmla="*/ 2424045 w 4250872"/>
                <a:gd name="connsiteY99" fmla="*/ 964567 h 4250872"/>
                <a:gd name="connsiteX100" fmla="*/ 2855175 w 4250872"/>
                <a:gd name="connsiteY100" fmla="*/ 785987 h 4250872"/>
                <a:gd name="connsiteX101" fmla="*/ 2125435 w 4250872"/>
                <a:gd name="connsiteY101" fmla="*/ 266463 h 4250872"/>
                <a:gd name="connsiteX102" fmla="*/ 266463 w 4250872"/>
                <a:gd name="connsiteY102" fmla="*/ 2125435 h 4250872"/>
                <a:gd name="connsiteX103" fmla="*/ 2125435 w 4250872"/>
                <a:gd name="connsiteY103" fmla="*/ 3984407 h 4250872"/>
                <a:gd name="connsiteX104" fmla="*/ 3984407 w 4250872"/>
                <a:gd name="connsiteY104" fmla="*/ 2125435 h 4250872"/>
                <a:gd name="connsiteX105" fmla="*/ 2125435 w 4250872"/>
                <a:gd name="connsiteY105" fmla="*/ 266463 h 4250872"/>
                <a:gd name="connsiteX106" fmla="*/ 2125436 w 4250872"/>
                <a:gd name="connsiteY106" fmla="*/ 0 h 4250872"/>
                <a:gd name="connsiteX107" fmla="*/ 4250872 w 4250872"/>
                <a:gd name="connsiteY107" fmla="*/ 2125436 h 4250872"/>
                <a:gd name="connsiteX108" fmla="*/ 2125436 w 4250872"/>
                <a:gd name="connsiteY108" fmla="*/ 4250872 h 4250872"/>
                <a:gd name="connsiteX109" fmla="*/ 0 w 4250872"/>
                <a:gd name="connsiteY109" fmla="*/ 2125436 h 4250872"/>
                <a:gd name="connsiteX110" fmla="*/ 2125436 w 4250872"/>
                <a:gd name="connsiteY110" fmla="*/ 0 h 425087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</a:cxnLst>
              <a:rect l="l" t="t" r="r" b="b"/>
              <a:pathLst>
                <a:path w="4250872" h="4250872">
                  <a:moveTo>
                    <a:pt x="2123136" y="2070418"/>
                  </a:moveTo>
                  <a:lnTo>
                    <a:pt x="2154685" y="2096189"/>
                  </a:lnTo>
                  <a:lnTo>
                    <a:pt x="2170560" y="2115622"/>
                  </a:lnTo>
                  <a:lnTo>
                    <a:pt x="2139010" y="2089852"/>
                  </a:lnTo>
                  <a:close/>
                  <a:moveTo>
                    <a:pt x="1601747" y="1799924"/>
                  </a:moveTo>
                  <a:lnTo>
                    <a:pt x="1590811" y="1836827"/>
                  </a:lnTo>
                  <a:cubicBezTo>
                    <a:pt x="1573677" y="1925326"/>
                    <a:pt x="1573677" y="2016487"/>
                    <a:pt x="1590811" y="2104985"/>
                  </a:cubicBezTo>
                  <a:lnTo>
                    <a:pt x="1624149" y="2217478"/>
                  </a:lnTo>
                  <a:lnTo>
                    <a:pt x="1202591" y="2639037"/>
                  </a:lnTo>
                  <a:cubicBezTo>
                    <a:pt x="1089580" y="2752047"/>
                    <a:pt x="1089580" y="2935273"/>
                    <a:pt x="1202591" y="3048283"/>
                  </a:cubicBezTo>
                  <a:cubicBezTo>
                    <a:pt x="1315601" y="3161294"/>
                    <a:pt x="1498827" y="3161294"/>
                    <a:pt x="1611837" y="3048283"/>
                  </a:cubicBezTo>
                  <a:lnTo>
                    <a:pt x="2033396" y="2626725"/>
                  </a:lnTo>
                  <a:lnTo>
                    <a:pt x="2102651" y="2557470"/>
                  </a:lnTo>
                  <a:lnTo>
                    <a:pt x="2158846" y="2574124"/>
                  </a:lnTo>
                  <a:cubicBezTo>
                    <a:pt x="2274142" y="2596446"/>
                    <a:pt x="2394638" y="2585286"/>
                    <a:pt x="2504731" y="2540640"/>
                  </a:cubicBezTo>
                  <a:lnTo>
                    <a:pt x="2519089" y="2533084"/>
                  </a:lnTo>
                  <a:lnTo>
                    <a:pt x="2470838" y="2624776"/>
                  </a:lnTo>
                  <a:lnTo>
                    <a:pt x="2450947" y="2649129"/>
                  </a:lnTo>
                  <a:lnTo>
                    <a:pt x="2392710" y="2720423"/>
                  </a:lnTo>
                  <a:lnTo>
                    <a:pt x="1826826" y="3286306"/>
                  </a:lnTo>
                  <a:cubicBezTo>
                    <a:pt x="1618483" y="3494650"/>
                    <a:pt x="1296872" y="3520693"/>
                    <a:pt x="1060213" y="3364435"/>
                  </a:cubicBezTo>
                  <a:lnTo>
                    <a:pt x="964566" y="3286306"/>
                  </a:lnTo>
                  <a:lnTo>
                    <a:pt x="886438" y="3190660"/>
                  </a:lnTo>
                  <a:cubicBezTo>
                    <a:pt x="730181" y="2954001"/>
                    <a:pt x="756224" y="2632390"/>
                    <a:pt x="964567" y="2424047"/>
                  </a:cubicBezTo>
                  <a:lnTo>
                    <a:pt x="1530449" y="1858164"/>
                  </a:lnTo>
                  <a:close/>
                  <a:moveTo>
                    <a:pt x="2199462" y="1728672"/>
                  </a:moveTo>
                  <a:lnTo>
                    <a:pt x="2297062" y="1780034"/>
                  </a:lnTo>
                  <a:cubicBezTo>
                    <a:pt x="2330871" y="1802356"/>
                    <a:pt x="2362946" y="1828400"/>
                    <a:pt x="2392709" y="1858163"/>
                  </a:cubicBezTo>
                  <a:lnTo>
                    <a:pt x="2392710" y="1858162"/>
                  </a:lnTo>
                  <a:cubicBezTo>
                    <a:pt x="2422473" y="1887925"/>
                    <a:pt x="2448517" y="1920000"/>
                    <a:pt x="2470839" y="1953809"/>
                  </a:cubicBezTo>
                  <a:lnTo>
                    <a:pt x="2507023" y="2022568"/>
                  </a:lnTo>
                  <a:lnTo>
                    <a:pt x="2526645" y="2059857"/>
                  </a:lnTo>
                  <a:lnTo>
                    <a:pt x="2543475" y="2116644"/>
                  </a:lnTo>
                  <a:lnTo>
                    <a:pt x="2560128" y="2172840"/>
                  </a:lnTo>
                  <a:cubicBezTo>
                    <a:pt x="2582450" y="2288135"/>
                    <a:pt x="2571290" y="2408632"/>
                    <a:pt x="2526644" y="2518725"/>
                  </a:cubicBezTo>
                  <a:lnTo>
                    <a:pt x="2519089" y="2533083"/>
                  </a:lnTo>
                  <a:lnTo>
                    <a:pt x="2504731" y="2540638"/>
                  </a:lnTo>
                  <a:cubicBezTo>
                    <a:pt x="2394638" y="2585284"/>
                    <a:pt x="2274141" y="2596444"/>
                    <a:pt x="2158846" y="2574122"/>
                  </a:cubicBezTo>
                  <a:lnTo>
                    <a:pt x="2102651" y="2557468"/>
                  </a:lnTo>
                  <a:lnTo>
                    <a:pt x="2154685" y="2505434"/>
                  </a:lnTo>
                  <a:cubicBezTo>
                    <a:pt x="2225316" y="2434803"/>
                    <a:pt x="2251803" y="2336743"/>
                    <a:pt x="2234146" y="2245541"/>
                  </a:cubicBezTo>
                  <a:lnTo>
                    <a:pt x="2232196" y="2238963"/>
                  </a:lnTo>
                  <a:lnTo>
                    <a:pt x="2218254" y="2191917"/>
                  </a:lnTo>
                  <a:cubicBezTo>
                    <a:pt x="2211190" y="2174499"/>
                    <a:pt x="2202361" y="2157630"/>
                    <a:pt x="2191767" y="2141583"/>
                  </a:cubicBezTo>
                  <a:lnTo>
                    <a:pt x="2170560" y="2115620"/>
                  </a:lnTo>
                  <a:lnTo>
                    <a:pt x="2170561" y="2115621"/>
                  </a:lnTo>
                  <a:lnTo>
                    <a:pt x="2154686" y="2096188"/>
                  </a:lnTo>
                  <a:lnTo>
                    <a:pt x="2123136" y="2070417"/>
                  </a:lnTo>
                  <a:lnTo>
                    <a:pt x="2111763" y="2056493"/>
                  </a:lnTo>
                  <a:cubicBezTo>
                    <a:pt x="2057265" y="1973954"/>
                    <a:pt x="2066348" y="1861786"/>
                    <a:pt x="2139011" y="1789123"/>
                  </a:cubicBezTo>
                  <a:close/>
                  <a:moveTo>
                    <a:pt x="1990827" y="1680281"/>
                  </a:moveTo>
                  <a:cubicBezTo>
                    <a:pt x="2020057" y="1681676"/>
                    <a:pt x="2049206" y="1685164"/>
                    <a:pt x="2078030" y="1690745"/>
                  </a:cubicBezTo>
                  <a:lnTo>
                    <a:pt x="2134228" y="1707399"/>
                  </a:lnTo>
                  <a:lnTo>
                    <a:pt x="2089421" y="1752206"/>
                  </a:lnTo>
                  <a:cubicBezTo>
                    <a:pt x="2018790" y="1822838"/>
                    <a:pt x="1992303" y="1920898"/>
                    <a:pt x="2009960" y="2012100"/>
                  </a:cubicBezTo>
                  <a:lnTo>
                    <a:pt x="2011910" y="2018676"/>
                  </a:lnTo>
                  <a:lnTo>
                    <a:pt x="2011910" y="2018677"/>
                  </a:lnTo>
                  <a:lnTo>
                    <a:pt x="2025853" y="2065723"/>
                  </a:lnTo>
                  <a:cubicBezTo>
                    <a:pt x="2032916" y="2083141"/>
                    <a:pt x="2041745" y="2100010"/>
                    <a:pt x="2052340" y="2116056"/>
                  </a:cubicBezTo>
                  <a:lnTo>
                    <a:pt x="2089419" y="2161450"/>
                  </a:lnTo>
                  <a:lnTo>
                    <a:pt x="2089422" y="2161452"/>
                  </a:lnTo>
                  <a:lnTo>
                    <a:pt x="2089424" y="2161455"/>
                  </a:lnTo>
                  <a:lnTo>
                    <a:pt x="2132715" y="2226648"/>
                  </a:lnTo>
                  <a:cubicBezTo>
                    <a:pt x="2161577" y="2297821"/>
                    <a:pt x="2147146" y="2382444"/>
                    <a:pt x="2089423" y="2440168"/>
                  </a:cubicBezTo>
                  <a:lnTo>
                    <a:pt x="2008575" y="2521016"/>
                  </a:lnTo>
                  <a:lnTo>
                    <a:pt x="1939815" y="2484833"/>
                  </a:lnTo>
                  <a:lnTo>
                    <a:pt x="1844168" y="2406704"/>
                  </a:lnTo>
                  <a:lnTo>
                    <a:pt x="1766040" y="2311058"/>
                  </a:lnTo>
                  <a:lnTo>
                    <a:pt x="1729857" y="2242300"/>
                  </a:lnTo>
                  <a:lnTo>
                    <a:pt x="1710234" y="2205009"/>
                  </a:lnTo>
                  <a:lnTo>
                    <a:pt x="1693404" y="2148223"/>
                  </a:lnTo>
                  <a:lnTo>
                    <a:pt x="1693403" y="2148224"/>
                  </a:lnTo>
                  <a:lnTo>
                    <a:pt x="1676749" y="2092027"/>
                  </a:lnTo>
                  <a:cubicBezTo>
                    <a:pt x="1654427" y="1976732"/>
                    <a:pt x="1665588" y="1856235"/>
                    <a:pt x="1710233" y="1746141"/>
                  </a:cubicBezTo>
                  <a:lnTo>
                    <a:pt x="1717788" y="1731782"/>
                  </a:lnTo>
                  <a:lnTo>
                    <a:pt x="1732144" y="1724228"/>
                  </a:lnTo>
                  <a:cubicBezTo>
                    <a:pt x="1814715" y="1690745"/>
                    <a:pt x="1903137" y="1676096"/>
                    <a:pt x="1990827" y="1680281"/>
                  </a:cubicBezTo>
                  <a:close/>
                  <a:moveTo>
                    <a:pt x="2855175" y="785987"/>
                  </a:moveTo>
                  <a:cubicBezTo>
                    <a:pt x="3011213" y="785987"/>
                    <a:pt x="3167252" y="845514"/>
                    <a:pt x="3286305" y="964567"/>
                  </a:cubicBezTo>
                  <a:lnTo>
                    <a:pt x="3286306" y="964566"/>
                  </a:lnTo>
                  <a:cubicBezTo>
                    <a:pt x="3524413" y="1202673"/>
                    <a:pt x="3524413" y="1588720"/>
                    <a:pt x="3286306" y="1826826"/>
                  </a:cubicBezTo>
                  <a:lnTo>
                    <a:pt x="2706427" y="2406705"/>
                  </a:lnTo>
                  <a:lnTo>
                    <a:pt x="2632339" y="2467223"/>
                  </a:lnTo>
                  <a:lnTo>
                    <a:pt x="2643060" y="2431050"/>
                  </a:lnTo>
                  <a:cubicBezTo>
                    <a:pt x="2660194" y="2342552"/>
                    <a:pt x="2660194" y="2251391"/>
                    <a:pt x="2643060" y="2162892"/>
                  </a:cubicBezTo>
                  <a:lnTo>
                    <a:pt x="2609722" y="2050399"/>
                  </a:lnTo>
                  <a:lnTo>
                    <a:pt x="3046620" y="1613500"/>
                  </a:lnTo>
                  <a:cubicBezTo>
                    <a:pt x="3159631" y="1500489"/>
                    <a:pt x="3159631" y="1317264"/>
                    <a:pt x="3046620" y="1204254"/>
                  </a:cubicBezTo>
                  <a:cubicBezTo>
                    <a:pt x="2933609" y="1091243"/>
                    <a:pt x="2750384" y="1091243"/>
                    <a:pt x="2637374" y="1204254"/>
                  </a:cubicBezTo>
                  <a:lnTo>
                    <a:pt x="2200475" y="1641152"/>
                  </a:lnTo>
                  <a:lnTo>
                    <a:pt x="2200474" y="1641151"/>
                  </a:lnTo>
                  <a:lnTo>
                    <a:pt x="2134228" y="1707398"/>
                  </a:lnTo>
                  <a:lnTo>
                    <a:pt x="2078029" y="1690744"/>
                  </a:lnTo>
                  <a:cubicBezTo>
                    <a:pt x="1962734" y="1668422"/>
                    <a:pt x="1842238" y="1679582"/>
                    <a:pt x="1732143" y="1724227"/>
                  </a:cubicBezTo>
                  <a:lnTo>
                    <a:pt x="1717787" y="1731781"/>
                  </a:lnTo>
                  <a:lnTo>
                    <a:pt x="1766039" y="1640092"/>
                  </a:lnTo>
                  <a:lnTo>
                    <a:pt x="1783649" y="1618534"/>
                  </a:lnTo>
                  <a:lnTo>
                    <a:pt x="1783651" y="1618533"/>
                  </a:lnTo>
                  <a:lnTo>
                    <a:pt x="1844168" y="1544446"/>
                  </a:lnTo>
                  <a:lnTo>
                    <a:pt x="2424045" y="964567"/>
                  </a:lnTo>
                  <a:cubicBezTo>
                    <a:pt x="2543099" y="845514"/>
                    <a:pt x="2699137" y="785987"/>
                    <a:pt x="2855175" y="785987"/>
                  </a:cubicBezTo>
                  <a:close/>
                  <a:moveTo>
                    <a:pt x="2125435" y="266463"/>
                  </a:moveTo>
                  <a:cubicBezTo>
                    <a:pt x="1098753" y="266463"/>
                    <a:pt x="266463" y="1098753"/>
                    <a:pt x="266463" y="2125435"/>
                  </a:cubicBezTo>
                  <a:cubicBezTo>
                    <a:pt x="266463" y="3152117"/>
                    <a:pt x="1098753" y="3984407"/>
                    <a:pt x="2125435" y="3984407"/>
                  </a:cubicBezTo>
                  <a:cubicBezTo>
                    <a:pt x="3152117" y="3984407"/>
                    <a:pt x="3984407" y="3152117"/>
                    <a:pt x="3984407" y="2125435"/>
                  </a:cubicBezTo>
                  <a:cubicBezTo>
                    <a:pt x="3984407" y="1098753"/>
                    <a:pt x="3152117" y="266463"/>
                    <a:pt x="2125435" y="266463"/>
                  </a:cubicBezTo>
                  <a:close/>
                  <a:moveTo>
                    <a:pt x="2125436" y="0"/>
                  </a:moveTo>
                  <a:cubicBezTo>
                    <a:pt x="3299282" y="0"/>
                    <a:pt x="4250872" y="951590"/>
                    <a:pt x="4250872" y="2125436"/>
                  </a:cubicBezTo>
                  <a:cubicBezTo>
                    <a:pt x="4250872" y="3299282"/>
                    <a:pt x="3299282" y="4250872"/>
                    <a:pt x="2125436" y="4250872"/>
                  </a:cubicBezTo>
                  <a:cubicBezTo>
                    <a:pt x="951590" y="4250872"/>
                    <a:pt x="0" y="3299282"/>
                    <a:pt x="0" y="2125436"/>
                  </a:cubicBezTo>
                  <a:cubicBezTo>
                    <a:pt x="0" y="951590"/>
                    <a:pt x="951590" y="0"/>
                    <a:pt x="2125436" y="0"/>
                  </a:cubicBezTo>
                  <a:close/>
                </a:path>
              </a:pathLst>
            </a:custGeom>
            <a:solidFill>
              <a:schemeClr val="bg1"/>
            </a:solidFill>
            <a:ln w="25400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  <xdr:grpSp>
        <xdr:nvGrpSpPr>
          <xdr:cNvPr id="119" name="Agrupar 118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00000000-0008-0000-0600-000077000000}"/>
              </a:ext>
            </a:extLst>
          </xdr:cNvPr>
          <xdr:cNvGrpSpPr/>
        </xdr:nvGrpSpPr>
        <xdr:grpSpPr>
          <a:xfrm>
            <a:off x="295275" y="125041"/>
            <a:ext cx="2674917" cy="243680"/>
            <a:chOff x="295275" y="125041"/>
            <a:chExt cx="2674917" cy="243680"/>
          </a:xfrm>
        </xdr:grpSpPr>
        <xdr:grpSp>
          <xdr:nvGrpSpPr>
            <xdr:cNvPr id="120" name="Agrupar 119">
              <a:extLst>
                <a:ext uri="{FF2B5EF4-FFF2-40B4-BE49-F238E27FC236}">
                  <a16:creationId xmlns:a16="http://schemas.microsoft.com/office/drawing/2014/main" id="{00000000-0008-0000-0600-000078000000}"/>
                </a:ext>
              </a:extLst>
            </xdr:cNvPr>
            <xdr:cNvGrpSpPr/>
          </xdr:nvGrpSpPr>
          <xdr:grpSpPr>
            <a:xfrm>
              <a:off x="295275" y="125041"/>
              <a:ext cx="2674917" cy="243680"/>
              <a:chOff x="370665" y="105468"/>
              <a:chExt cx="2671648" cy="244391"/>
            </a:xfrm>
          </xdr:grpSpPr>
          <xdr:sp macro="" textlink="">
            <xdr:nvSpPr>
              <xdr:cNvPr id="122" name="Retângulo: Cantos Arredondados 121">
                <a:extLst>
                  <a:ext uri="{FF2B5EF4-FFF2-40B4-BE49-F238E27FC236}">
                    <a16:creationId xmlns:a16="http://schemas.microsoft.com/office/drawing/2014/main" id="{00000000-0008-0000-0600-00007A000000}"/>
                  </a:ext>
                </a:extLst>
              </xdr:cNvPr>
              <xdr:cNvSpPr/>
            </xdr:nvSpPr>
            <xdr:spPr>
              <a:xfrm>
                <a:off x="1199865" y="105468"/>
                <a:ext cx="1842448" cy="244391"/>
              </a:xfrm>
              <a:prstGeom prst="roundRect">
                <a:avLst>
                  <a:gd name="adj" fmla="val 50000"/>
                </a:avLst>
              </a:prstGeom>
              <a:noFill/>
              <a:ln w="285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144000" rIns="0" bIns="72000" rtlCol="0" anchor="ctr"/>
              <a:lstStyle/>
              <a:p>
                <a:pPr marL="0" indent="0" algn="ctr"/>
                <a:r>
                  <a:rPr lang="pt-BR" sz="1050">
                    <a:solidFill>
                      <a:schemeClr val="bg1"/>
                    </a:solidFill>
                    <a:latin typeface="Segoe UI Semibold" panose="020B0702040204020203" pitchFamily="34" charset="0"/>
                    <a:ea typeface="+mn-ea"/>
                    <a:cs typeface="Segoe UI Semibold" panose="020B0702040204020203" pitchFamily="34" charset="0"/>
                  </a:rPr>
                  <a:t>         Treliça Modelo A</a:t>
                </a:r>
              </a:p>
            </xdr:txBody>
          </xdr:sp>
          <xdr:grpSp>
            <xdr:nvGrpSpPr>
              <xdr:cNvPr id="123" name="Agrupar 122">
                <a:extLst>
                  <a:ext uri="{FF2B5EF4-FFF2-40B4-BE49-F238E27FC236}">
                    <a16:creationId xmlns:a16="http://schemas.microsoft.com/office/drawing/2014/main" id="{00000000-0008-0000-0600-00007B000000}"/>
                  </a:ext>
                </a:extLst>
              </xdr:cNvPr>
              <xdr:cNvGrpSpPr/>
            </xdr:nvGrpSpPr>
            <xdr:grpSpPr>
              <a:xfrm>
                <a:off x="370665" y="105468"/>
                <a:ext cx="1197484" cy="244391"/>
                <a:chOff x="1941892" y="104252"/>
                <a:chExt cx="1204439" cy="245585"/>
              </a:xfrm>
            </xdr:grpSpPr>
            <xdr:sp macro="" textlink="">
              <xdr:nvSpPr>
                <xdr:cNvPr id="128" name="Retângulo: Cantos Arredondados 127">
                  <a:extLst>
                    <a:ext uri="{FF2B5EF4-FFF2-40B4-BE49-F238E27FC236}">
                      <a16:creationId xmlns:a16="http://schemas.microsoft.com/office/drawing/2014/main" id="{00000000-0008-0000-0600-000080000000}"/>
                    </a:ext>
                  </a:extLst>
                </xdr:cNvPr>
                <xdr:cNvSpPr/>
              </xdr:nvSpPr>
              <xdr:spPr>
                <a:xfrm>
                  <a:off x="1941892" y="104252"/>
                  <a:ext cx="1204439" cy="245585"/>
                </a:xfrm>
                <a:prstGeom prst="roundRect">
                  <a:avLst>
                    <a:gd name="adj" fmla="val 50000"/>
                  </a:avLst>
                </a:prstGeom>
                <a:solidFill>
                  <a:schemeClr val="tx1">
                    <a:lumMod val="85000"/>
                    <a:lumOff val="15000"/>
                  </a:schemeClr>
                </a:solidFill>
                <a:ln w="28575">
                  <a:solidFill>
                    <a:schemeClr val="tx1">
                      <a:lumMod val="85000"/>
                      <a:lumOff val="15000"/>
                    </a:schemeClr>
                  </a:solidFill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lIns="144000" rIns="0" bIns="72000" rtlCol="0" anchor="ctr"/>
                <a:lstStyle/>
                <a:p>
                  <a:pPr marL="0" indent="0" algn="ctr"/>
                  <a:r>
                    <a:rPr lang="pt-BR" sz="1100">
                      <a:solidFill>
                        <a:schemeClr val="lt1"/>
                      </a:solidFill>
                      <a:latin typeface="Segoe UI Semibold" panose="020B0702040204020203" pitchFamily="34" charset="0"/>
                      <a:ea typeface="+mn-ea"/>
                      <a:cs typeface="Segoe UI Semibold" panose="020B0702040204020203" pitchFamily="34" charset="0"/>
                    </a:rPr>
                    <a:t>Menu Inicial</a:t>
                  </a:r>
                </a:p>
              </xdr:txBody>
            </xdr:sp>
            <xdr:sp macro="" textlink="">
              <xdr:nvSpPr>
                <xdr:cNvPr id="171" name="Forma Livre: Forma 170">
                  <a:extLst>
                    <a:ext uri="{FF2B5EF4-FFF2-40B4-BE49-F238E27FC236}">
                      <a16:creationId xmlns:a16="http://schemas.microsoft.com/office/drawing/2014/main" id="{00000000-0008-0000-0600-0000AB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2017848" y="142345"/>
                  <a:ext cx="169596" cy="160423"/>
                </a:xfrm>
                <a:custGeom>
                  <a:avLst/>
                  <a:gdLst>
                    <a:gd name="connsiteX0" fmla="*/ 2207243 w 3579070"/>
                    <a:gd name="connsiteY0" fmla="*/ 3366545 h 3368926"/>
                    <a:gd name="connsiteX1" fmla="*/ 2535059 w 3579070"/>
                    <a:gd name="connsiteY1" fmla="*/ 3366545 h 3368926"/>
                    <a:gd name="connsiteX2" fmla="*/ 2523265 w 3579070"/>
                    <a:gd name="connsiteY2" fmla="*/ 3368926 h 3368926"/>
                    <a:gd name="connsiteX3" fmla="*/ 2219036 w 3579070"/>
                    <a:gd name="connsiteY3" fmla="*/ 3368926 h 3368926"/>
                    <a:gd name="connsiteX4" fmla="*/ 1789535 w 3579070"/>
                    <a:gd name="connsiteY4" fmla="*/ 0 h 3368926"/>
                    <a:gd name="connsiteX5" fmla="*/ 2012243 w 3579070"/>
                    <a:gd name="connsiteY5" fmla="*/ 92249 h 3368926"/>
                    <a:gd name="connsiteX6" fmla="*/ 2012247 w 3579070"/>
                    <a:gd name="connsiteY6" fmla="*/ 92254 h 3368926"/>
                    <a:gd name="connsiteX7" fmla="*/ 3486822 w 3579070"/>
                    <a:gd name="connsiteY7" fmla="*/ 1566828 h 3368926"/>
                    <a:gd name="connsiteX8" fmla="*/ 3486822 w 3579070"/>
                    <a:gd name="connsiteY8" fmla="*/ 2012243 h 3368926"/>
                    <a:gd name="connsiteX9" fmla="*/ 3203960 w 3579070"/>
                    <a:gd name="connsiteY9" fmla="*/ 2098726 h 3368926"/>
                    <a:gd name="connsiteX10" fmla="*/ 3147176 w 3579070"/>
                    <a:gd name="connsiteY10" fmla="*/ 2081898 h 3368926"/>
                    <a:gd name="connsiteX11" fmla="*/ 3147176 w 3579070"/>
                    <a:gd name="connsiteY11" fmla="*/ 2993894 h 3368926"/>
                    <a:gd name="connsiteX12" fmla="*/ 2774526 w 3579070"/>
                    <a:gd name="connsiteY12" fmla="*/ 3366544 h 3368926"/>
                    <a:gd name="connsiteX13" fmla="*/ 2535059 w 3579070"/>
                    <a:gd name="connsiteY13" fmla="*/ 3366544 h 3368926"/>
                    <a:gd name="connsiteX14" fmla="*/ 2207243 w 3579070"/>
                    <a:gd name="connsiteY14" fmla="*/ 3366544 h 3368926"/>
                    <a:gd name="connsiteX15" fmla="*/ 2182467 w 3579070"/>
                    <a:gd name="connsiteY15" fmla="*/ 3361542 h 3368926"/>
                    <a:gd name="connsiteX16" fmla="*/ 2132471 w 3579070"/>
                    <a:gd name="connsiteY16" fmla="*/ 3311546 h 3368926"/>
                    <a:gd name="connsiteX17" fmla="*/ 2127469 w 3579070"/>
                    <a:gd name="connsiteY17" fmla="*/ 3286771 h 3368926"/>
                    <a:gd name="connsiteX18" fmla="*/ 2127469 w 3579070"/>
                    <a:gd name="connsiteY18" fmla="*/ 3286772 h 3368926"/>
                    <a:gd name="connsiteX19" fmla="*/ 2125088 w 3579070"/>
                    <a:gd name="connsiteY19" fmla="*/ 3274978 h 3368926"/>
                    <a:gd name="connsiteX20" fmla="*/ 2125088 w 3579070"/>
                    <a:gd name="connsiteY20" fmla="*/ 3079022 h 3368926"/>
                    <a:gd name="connsiteX21" fmla="*/ 2126378 w 3579070"/>
                    <a:gd name="connsiteY21" fmla="*/ 3072633 h 3368926"/>
                    <a:gd name="connsiteX22" fmla="*/ 2126378 w 3579070"/>
                    <a:gd name="connsiteY22" fmla="*/ 2991827 h 3368926"/>
                    <a:gd name="connsiteX23" fmla="*/ 2127469 w 3579070"/>
                    <a:gd name="connsiteY23" fmla="*/ 2986423 h 3368926"/>
                    <a:gd name="connsiteX24" fmla="*/ 2127469 w 3579070"/>
                    <a:gd name="connsiteY24" fmla="*/ 2455209 h 3368926"/>
                    <a:gd name="connsiteX25" fmla="*/ 1962922 w 3579070"/>
                    <a:gd name="connsiteY25" fmla="*/ 2290662 h 3368926"/>
                    <a:gd name="connsiteX26" fmla="*/ 1619710 w 3579070"/>
                    <a:gd name="connsiteY26" fmla="*/ 2290662 h 3368926"/>
                    <a:gd name="connsiteX27" fmla="*/ 1455163 w 3579070"/>
                    <a:gd name="connsiteY27" fmla="*/ 2455209 h 3368926"/>
                    <a:gd name="connsiteX28" fmla="*/ 1455163 w 3579070"/>
                    <a:gd name="connsiteY28" fmla="*/ 3067228 h 3368926"/>
                    <a:gd name="connsiteX29" fmla="*/ 1452782 w 3579070"/>
                    <a:gd name="connsiteY29" fmla="*/ 3055435 h 3368926"/>
                    <a:gd name="connsiteX30" fmla="*/ 1452782 w 3579070"/>
                    <a:gd name="connsiteY30" fmla="*/ 3055436 h 3368926"/>
                    <a:gd name="connsiteX31" fmla="*/ 1455163 w 3579070"/>
                    <a:gd name="connsiteY31" fmla="*/ 3067229 h 3368926"/>
                    <a:gd name="connsiteX32" fmla="*/ 1457544 w 3579070"/>
                    <a:gd name="connsiteY32" fmla="*/ 3079022 h 3368926"/>
                    <a:gd name="connsiteX33" fmla="*/ 1457544 w 3579070"/>
                    <a:gd name="connsiteY33" fmla="*/ 3274978 h 3368926"/>
                    <a:gd name="connsiteX34" fmla="*/ 1455163 w 3579070"/>
                    <a:gd name="connsiteY34" fmla="*/ 3286772 h 3368926"/>
                    <a:gd name="connsiteX35" fmla="*/ 1450161 w 3579070"/>
                    <a:gd name="connsiteY35" fmla="*/ 3311547 h 3368926"/>
                    <a:gd name="connsiteX36" fmla="*/ 1400165 w 3579070"/>
                    <a:gd name="connsiteY36" fmla="*/ 3361543 h 3368926"/>
                    <a:gd name="connsiteX37" fmla="*/ 1375389 w 3579070"/>
                    <a:gd name="connsiteY37" fmla="*/ 3366545 h 3368926"/>
                    <a:gd name="connsiteX38" fmla="*/ 1363596 w 3579070"/>
                    <a:gd name="connsiteY38" fmla="*/ 3368926 h 3368926"/>
                    <a:gd name="connsiteX39" fmla="*/ 1059367 w 3579070"/>
                    <a:gd name="connsiteY39" fmla="*/ 3368926 h 3368926"/>
                    <a:gd name="connsiteX40" fmla="*/ 1047573 w 3579070"/>
                    <a:gd name="connsiteY40" fmla="*/ 3366545 h 3368926"/>
                    <a:gd name="connsiteX41" fmla="*/ 1047568 w 3579070"/>
                    <a:gd name="connsiteY41" fmla="*/ 3366544 h 3368926"/>
                    <a:gd name="connsiteX42" fmla="*/ 804543 w 3579070"/>
                    <a:gd name="connsiteY42" fmla="*/ 3366544 h 3368926"/>
                    <a:gd name="connsiteX43" fmla="*/ 431893 w 3579070"/>
                    <a:gd name="connsiteY43" fmla="*/ 2993894 h 3368926"/>
                    <a:gd name="connsiteX44" fmla="*/ 431893 w 3579070"/>
                    <a:gd name="connsiteY44" fmla="*/ 2081898 h 3368926"/>
                    <a:gd name="connsiteX45" fmla="*/ 375110 w 3579070"/>
                    <a:gd name="connsiteY45" fmla="*/ 2098726 h 3368926"/>
                    <a:gd name="connsiteX46" fmla="*/ 92248 w 3579070"/>
                    <a:gd name="connsiteY46" fmla="*/ 2012243 h 3368926"/>
                    <a:gd name="connsiteX47" fmla="*/ 92248 w 3579070"/>
                    <a:gd name="connsiteY47" fmla="*/ 1566828 h 3368926"/>
                    <a:gd name="connsiteX48" fmla="*/ 1566823 w 3579070"/>
                    <a:gd name="connsiteY48" fmla="*/ 92254 h 3368926"/>
                    <a:gd name="connsiteX49" fmla="*/ 1566827 w 3579070"/>
                    <a:gd name="connsiteY49" fmla="*/ 92249 h 3368926"/>
                    <a:gd name="connsiteX50" fmla="*/ 1729380 w 3579070"/>
                    <a:gd name="connsiteY50" fmla="*/ 5766 h 3368926"/>
                    <a:gd name="connsiteX51" fmla="*/ 1784115 w 3579070"/>
                    <a:gd name="connsiteY51" fmla="*/ 520 h 336892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  <a:cxn ang="0">
                      <a:pos x="connsiteX51" y="connsiteY51"/>
                    </a:cxn>
                  </a:cxnLst>
                  <a:rect l="l" t="t" r="r" b="b"/>
                  <a:pathLst>
                    <a:path w="3579070" h="3368926">
                      <a:moveTo>
                        <a:pt x="2207243" y="3366545"/>
                      </a:moveTo>
                      <a:lnTo>
                        <a:pt x="2535059" y="3366545"/>
                      </a:lnTo>
                      <a:lnTo>
                        <a:pt x="2523265" y="3368926"/>
                      </a:lnTo>
                      <a:lnTo>
                        <a:pt x="2219036" y="3368926"/>
                      </a:lnTo>
                      <a:close/>
                      <a:moveTo>
                        <a:pt x="1789535" y="0"/>
                      </a:moveTo>
                      <a:cubicBezTo>
                        <a:pt x="1870140" y="0"/>
                        <a:pt x="1950744" y="30750"/>
                        <a:pt x="2012243" y="92249"/>
                      </a:cubicBezTo>
                      <a:lnTo>
                        <a:pt x="2012247" y="92254"/>
                      </a:lnTo>
                      <a:lnTo>
                        <a:pt x="3486822" y="1566828"/>
                      </a:lnTo>
                      <a:cubicBezTo>
                        <a:pt x="3609820" y="1689826"/>
                        <a:pt x="3609820" y="1889246"/>
                        <a:pt x="3486822" y="2012243"/>
                      </a:cubicBezTo>
                      <a:cubicBezTo>
                        <a:pt x="3409949" y="2089117"/>
                        <a:pt x="3303223" y="2117945"/>
                        <a:pt x="3203960" y="2098726"/>
                      </a:cubicBezTo>
                      <a:lnTo>
                        <a:pt x="3147176" y="2081898"/>
                      </a:lnTo>
                      <a:lnTo>
                        <a:pt x="3147176" y="2993894"/>
                      </a:lnTo>
                      <a:cubicBezTo>
                        <a:pt x="3147176" y="3199703"/>
                        <a:pt x="2980335" y="3366544"/>
                        <a:pt x="2774526" y="3366544"/>
                      </a:cubicBezTo>
                      <a:lnTo>
                        <a:pt x="2535059" y="3366544"/>
                      </a:lnTo>
                      <a:lnTo>
                        <a:pt x="2207243" y="3366544"/>
                      </a:lnTo>
                      <a:lnTo>
                        <a:pt x="2182467" y="3361542"/>
                      </a:lnTo>
                      <a:cubicBezTo>
                        <a:pt x="2159988" y="3352034"/>
                        <a:pt x="2141979" y="3334026"/>
                        <a:pt x="2132471" y="3311546"/>
                      </a:cubicBezTo>
                      <a:lnTo>
                        <a:pt x="2127469" y="3286771"/>
                      </a:lnTo>
                      <a:lnTo>
                        <a:pt x="2127469" y="3286772"/>
                      </a:lnTo>
                      <a:lnTo>
                        <a:pt x="2125088" y="3274978"/>
                      </a:lnTo>
                      <a:lnTo>
                        <a:pt x="2125088" y="3079022"/>
                      </a:lnTo>
                      <a:lnTo>
                        <a:pt x="2126378" y="3072633"/>
                      </a:lnTo>
                      <a:lnTo>
                        <a:pt x="2126378" y="2991827"/>
                      </a:lnTo>
                      <a:lnTo>
                        <a:pt x="2127469" y="2986423"/>
                      </a:lnTo>
                      <a:lnTo>
                        <a:pt x="2127469" y="2455209"/>
                      </a:lnTo>
                      <a:cubicBezTo>
                        <a:pt x="2127469" y="2364332"/>
                        <a:pt x="2053799" y="2290662"/>
                        <a:pt x="1962922" y="2290662"/>
                      </a:cubicBezTo>
                      <a:lnTo>
                        <a:pt x="1619710" y="2290662"/>
                      </a:lnTo>
                      <a:cubicBezTo>
                        <a:pt x="1528833" y="2290662"/>
                        <a:pt x="1455163" y="2364332"/>
                        <a:pt x="1455163" y="2455209"/>
                      </a:cubicBezTo>
                      <a:lnTo>
                        <a:pt x="1455163" y="3067228"/>
                      </a:lnTo>
                      <a:lnTo>
                        <a:pt x="1452782" y="3055435"/>
                      </a:lnTo>
                      <a:lnTo>
                        <a:pt x="1452782" y="3055436"/>
                      </a:lnTo>
                      <a:lnTo>
                        <a:pt x="1455163" y="3067229"/>
                      </a:lnTo>
                      <a:lnTo>
                        <a:pt x="1457544" y="3079022"/>
                      </a:lnTo>
                      <a:lnTo>
                        <a:pt x="1457544" y="3274978"/>
                      </a:lnTo>
                      <a:lnTo>
                        <a:pt x="1455163" y="3286772"/>
                      </a:lnTo>
                      <a:lnTo>
                        <a:pt x="1450161" y="3311547"/>
                      </a:lnTo>
                      <a:cubicBezTo>
                        <a:pt x="1440653" y="3334027"/>
                        <a:pt x="1422644" y="3352035"/>
                        <a:pt x="1400165" y="3361543"/>
                      </a:cubicBezTo>
                      <a:lnTo>
                        <a:pt x="1375389" y="3366545"/>
                      </a:lnTo>
                      <a:lnTo>
                        <a:pt x="1363596" y="3368926"/>
                      </a:lnTo>
                      <a:lnTo>
                        <a:pt x="1059367" y="3368926"/>
                      </a:lnTo>
                      <a:lnTo>
                        <a:pt x="1047573" y="3366545"/>
                      </a:lnTo>
                      <a:lnTo>
                        <a:pt x="1047568" y="3366544"/>
                      </a:lnTo>
                      <a:lnTo>
                        <a:pt x="804543" y="3366544"/>
                      </a:lnTo>
                      <a:cubicBezTo>
                        <a:pt x="598734" y="3366544"/>
                        <a:pt x="431893" y="3199703"/>
                        <a:pt x="431893" y="2993894"/>
                      </a:cubicBezTo>
                      <a:lnTo>
                        <a:pt x="431893" y="2081898"/>
                      </a:lnTo>
                      <a:lnTo>
                        <a:pt x="375110" y="2098726"/>
                      </a:lnTo>
                      <a:cubicBezTo>
                        <a:pt x="275847" y="2117945"/>
                        <a:pt x="169121" y="2089117"/>
                        <a:pt x="92248" y="2012243"/>
                      </a:cubicBezTo>
                      <a:cubicBezTo>
                        <a:pt x="-30750" y="1889246"/>
                        <a:pt x="-30750" y="1689826"/>
                        <a:pt x="92248" y="1566828"/>
                      </a:cubicBezTo>
                      <a:lnTo>
                        <a:pt x="1566823" y="92254"/>
                      </a:lnTo>
                      <a:lnTo>
                        <a:pt x="1566827" y="92249"/>
                      </a:lnTo>
                      <a:cubicBezTo>
                        <a:pt x="1612951" y="46124"/>
                        <a:pt x="1669822" y="17297"/>
                        <a:pt x="1729380" y="5766"/>
                      </a:cubicBezTo>
                      <a:lnTo>
                        <a:pt x="1784115" y="520"/>
                      </a:lnTo>
                      <a:close/>
                    </a:path>
                  </a:pathLst>
                </a:custGeom>
                <a:noFill/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/>
                </a:p>
              </xdr:txBody>
            </xdr:sp>
          </xdr:grpSp>
        </xdr:grpSp>
        <xdr:sp macro="" textlink="">
          <xdr:nvSpPr>
            <xdr:cNvPr id="121" name="Forma Livre: Forma 120">
              <a:extLst>
                <a:ext uri="{FF2B5EF4-FFF2-40B4-BE49-F238E27FC236}">
                  <a16:creationId xmlns:a16="http://schemas.microsoft.com/office/drawing/2014/main" id="{00000000-0008-0000-0600-000079000000}"/>
                </a:ext>
              </a:extLst>
            </xdr:cNvPr>
            <xdr:cNvSpPr/>
          </xdr:nvSpPr>
          <xdr:spPr>
            <a:xfrm>
              <a:off x="1569244" y="190501"/>
              <a:ext cx="176212" cy="90310"/>
            </a:xfrm>
            <a:custGeom>
              <a:avLst/>
              <a:gdLst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53778 w 8618536"/>
                <a:gd name="connsiteY41" fmla="*/ 1609322 h 2668736"/>
                <a:gd name="connsiteX42" fmla="*/ 1865802 w 8618536"/>
                <a:gd name="connsiteY42" fmla="*/ 1609322 h 2668736"/>
                <a:gd name="connsiteX43" fmla="*/ 442396 w 8618536"/>
                <a:gd name="connsiteY43" fmla="*/ 2433210 h 2668736"/>
                <a:gd name="connsiteX44" fmla="*/ 1855398 w 8618536"/>
                <a:gd name="connsiteY44" fmla="*/ 2433210 h 2668736"/>
                <a:gd name="connsiteX45" fmla="*/ 1853778 w 8618536"/>
                <a:gd name="connsiteY45" fmla="*/ 2434185 h 2668736"/>
                <a:gd name="connsiteX46" fmla="*/ 2822946 w 8618536"/>
                <a:gd name="connsiteY46" fmla="*/ 2434185 h 2668736"/>
                <a:gd name="connsiteX47" fmla="*/ 2821326 w 8618536"/>
                <a:gd name="connsiteY47" fmla="*/ 2433210 h 2668736"/>
                <a:gd name="connsiteX48" fmla="*/ 4190999 w 8618536"/>
                <a:gd name="connsiteY48" fmla="*/ 2433210 h 2668736"/>
                <a:gd name="connsiteX49" fmla="*/ 4190999 w 8618536"/>
                <a:gd name="connsiteY49" fmla="*/ 2408443 h 2668736"/>
                <a:gd name="connsiteX50" fmla="*/ 2810382 w 8618536"/>
                <a:gd name="connsiteY50" fmla="*/ 1609322 h 2668736"/>
                <a:gd name="connsiteX51" fmla="*/ 2822946 w 8618536"/>
                <a:gd name="connsiteY51" fmla="*/ 1609322 h 2668736"/>
                <a:gd name="connsiteX52" fmla="*/ 2338362 w 8618536"/>
                <a:gd name="connsiteY52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10382 w 8618536"/>
                <a:gd name="connsiteY49" fmla="*/ 1609322 h 2668736"/>
                <a:gd name="connsiteX50" fmla="*/ 2822946 w 8618536"/>
                <a:gd name="connsiteY50" fmla="*/ 1609322 h 2668736"/>
                <a:gd name="connsiteX51" fmla="*/ 2338362 w 8618536"/>
                <a:gd name="connsiteY51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06673 h 2668736"/>
                <a:gd name="connsiteX28" fmla="*/ 4417001 w 8618536"/>
                <a:gd name="connsiteY28" fmla="*/ 2433210 h 2668736"/>
                <a:gd name="connsiteX29" fmla="*/ 5785622 w 8618536"/>
                <a:gd name="connsiteY29" fmla="*/ 2433210 h 2668736"/>
                <a:gd name="connsiteX30" fmla="*/ 5784003 w 8618536"/>
                <a:gd name="connsiteY30" fmla="*/ 2434184 h 2668736"/>
                <a:gd name="connsiteX31" fmla="*/ 6753171 w 8618536"/>
                <a:gd name="connsiteY31" fmla="*/ 2434184 h 2668736"/>
                <a:gd name="connsiteX32" fmla="*/ 6751553 w 8618536"/>
                <a:gd name="connsiteY32" fmla="*/ 2433210 h 2668736"/>
                <a:gd name="connsiteX33" fmla="*/ 8169849 w 8618536"/>
                <a:gd name="connsiteY33" fmla="*/ 2433210 h 2668736"/>
                <a:gd name="connsiteX34" fmla="*/ 6611755 w 8618536"/>
                <a:gd name="connsiteY34" fmla="*/ 1531363 h 2668736"/>
                <a:gd name="connsiteX35" fmla="*/ 6268587 w 8618536"/>
                <a:gd name="connsiteY35" fmla="*/ 1324844 h 2668736"/>
                <a:gd name="connsiteX36" fmla="*/ 4190999 w 8618536"/>
                <a:gd name="connsiteY36" fmla="*/ 263464 h 2668736"/>
                <a:gd name="connsiteX37" fmla="*/ 2563665 w 8618536"/>
                <a:gd name="connsiteY37" fmla="*/ 1205389 h 2668736"/>
                <a:gd name="connsiteX38" fmla="*/ 4190999 w 8618536"/>
                <a:gd name="connsiteY38" fmla="*/ 2147314 h 2668736"/>
                <a:gd name="connsiteX39" fmla="*/ 4190999 w 8618536"/>
                <a:gd name="connsiteY39" fmla="*/ 263464 h 2668736"/>
                <a:gd name="connsiteX40" fmla="*/ 2338362 w 8618536"/>
                <a:gd name="connsiteY40" fmla="*/ 1317699 h 2668736"/>
                <a:gd name="connsiteX41" fmla="*/ 1865802 w 8618536"/>
                <a:gd name="connsiteY41" fmla="*/ 1609322 h 2668736"/>
                <a:gd name="connsiteX42" fmla="*/ 442396 w 8618536"/>
                <a:gd name="connsiteY42" fmla="*/ 2433210 h 2668736"/>
                <a:gd name="connsiteX43" fmla="*/ 1855398 w 8618536"/>
                <a:gd name="connsiteY43" fmla="*/ 2433210 h 2668736"/>
                <a:gd name="connsiteX44" fmla="*/ 1853778 w 8618536"/>
                <a:gd name="connsiteY44" fmla="*/ 2434185 h 2668736"/>
                <a:gd name="connsiteX45" fmla="*/ 2822946 w 8618536"/>
                <a:gd name="connsiteY45" fmla="*/ 2434185 h 2668736"/>
                <a:gd name="connsiteX46" fmla="*/ 2821326 w 8618536"/>
                <a:gd name="connsiteY46" fmla="*/ 2433210 h 2668736"/>
                <a:gd name="connsiteX47" fmla="*/ 4190999 w 8618536"/>
                <a:gd name="connsiteY47" fmla="*/ 2433210 h 2668736"/>
                <a:gd name="connsiteX48" fmla="*/ 4190999 w 8618536"/>
                <a:gd name="connsiteY48" fmla="*/ 2408443 h 2668736"/>
                <a:gd name="connsiteX49" fmla="*/ 2822946 w 8618536"/>
                <a:gd name="connsiteY49" fmla="*/ 1609322 h 2668736"/>
                <a:gd name="connsiteX50" fmla="*/ 2338362 w 8618536"/>
                <a:gd name="connsiteY50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4190999 w 8618536"/>
                <a:gd name="connsiteY47" fmla="*/ 2408443 h 2668736"/>
                <a:gd name="connsiteX48" fmla="*/ 2822946 w 8618536"/>
                <a:gd name="connsiteY48" fmla="*/ 1609322 h 2668736"/>
                <a:gd name="connsiteX49" fmla="*/ 2338362 w 8618536"/>
                <a:gd name="connsiteY49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190999 w 8618536"/>
                <a:gd name="connsiteY46" fmla="*/ 2433210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90999 w 8618536"/>
                <a:gd name="connsiteY37" fmla="*/ 2147314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7001 w 8618536"/>
                <a:gd name="connsiteY22" fmla="*/ 2145544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17001 w 8618536"/>
                <a:gd name="connsiteY27" fmla="*/ 243321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486851 w 8618536"/>
                <a:gd name="connsiteY27" fmla="*/ 2439560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50319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  <a:gd name="connsiteX0" fmla="*/ 4417215 w 8618536"/>
                <a:gd name="connsiteY0" fmla="*/ 0 h 2668736"/>
                <a:gd name="connsiteX1" fmla="*/ 8611683 w 8618536"/>
                <a:gd name="connsiteY1" fmla="*/ 2427820 h 2668736"/>
                <a:gd name="connsiteX2" fmla="*/ 8618088 w 8618536"/>
                <a:gd name="connsiteY2" fmla="*/ 2433210 h 2668736"/>
                <a:gd name="connsiteX3" fmla="*/ 8618536 w 8618536"/>
                <a:gd name="connsiteY3" fmla="*/ 2661594 h 2668736"/>
                <a:gd name="connsiteX4" fmla="*/ 6369626 w 8618536"/>
                <a:gd name="connsiteY4" fmla="*/ 2659212 h 2668736"/>
                <a:gd name="connsiteX5" fmla="*/ 6143624 w 8618536"/>
                <a:gd name="connsiteY5" fmla="*/ 2659212 h 2668736"/>
                <a:gd name="connsiteX6" fmla="*/ 4417001 w 8618536"/>
                <a:gd name="connsiteY6" fmla="*/ 2659212 h 2668736"/>
                <a:gd name="connsiteX7" fmla="*/ 4417001 w 8618536"/>
                <a:gd name="connsiteY7" fmla="*/ 2659213 h 2668736"/>
                <a:gd name="connsiteX8" fmla="*/ 4190999 w 8618536"/>
                <a:gd name="connsiteY8" fmla="*/ 2659213 h 2668736"/>
                <a:gd name="connsiteX9" fmla="*/ 4190999 w 8618536"/>
                <a:gd name="connsiteY9" fmla="*/ 2659212 h 2668736"/>
                <a:gd name="connsiteX10" fmla="*/ 0 w 8618536"/>
                <a:gd name="connsiteY10" fmla="*/ 2668736 h 2668736"/>
                <a:gd name="connsiteX11" fmla="*/ 3677 w 8618536"/>
                <a:gd name="connsiteY11" fmla="*/ 2433210 h 2668736"/>
                <a:gd name="connsiteX12" fmla="*/ 558 w 8618536"/>
                <a:gd name="connsiteY12" fmla="*/ 2427822 h 2668736"/>
                <a:gd name="connsiteX13" fmla="*/ 4190999 w 8618536"/>
                <a:gd name="connsiteY13" fmla="*/ 2333 h 2668736"/>
                <a:gd name="connsiteX14" fmla="*/ 4190999 w 8618536"/>
                <a:gd name="connsiteY14" fmla="*/ 5 h 2668736"/>
                <a:gd name="connsiteX15" fmla="*/ 4195022 w 8618536"/>
                <a:gd name="connsiteY15" fmla="*/ 5 h 2668736"/>
                <a:gd name="connsiteX16" fmla="*/ 4195027 w 8618536"/>
                <a:gd name="connsiteY16" fmla="*/ 2 h 2668736"/>
                <a:gd name="connsiteX17" fmla="*/ 4195029 w 8618536"/>
                <a:gd name="connsiteY17" fmla="*/ 5 h 2668736"/>
                <a:gd name="connsiteX18" fmla="*/ 4417001 w 8618536"/>
                <a:gd name="connsiteY18" fmla="*/ 5 h 2668736"/>
                <a:gd name="connsiteX19" fmla="*/ 4417001 w 8618536"/>
                <a:gd name="connsiteY19" fmla="*/ 369 h 2668736"/>
                <a:gd name="connsiteX20" fmla="*/ 4417215 w 8618536"/>
                <a:gd name="connsiteY20" fmla="*/ 0 h 2668736"/>
                <a:gd name="connsiteX21" fmla="*/ 4417001 w 8618536"/>
                <a:gd name="connsiteY21" fmla="*/ 261007 h 2668736"/>
                <a:gd name="connsiteX22" fmla="*/ 4410651 w 8618536"/>
                <a:gd name="connsiteY22" fmla="*/ 2262225 h 2668736"/>
                <a:gd name="connsiteX23" fmla="*/ 6044928 w 8618536"/>
                <a:gd name="connsiteY23" fmla="*/ 1203275 h 2668736"/>
                <a:gd name="connsiteX24" fmla="*/ 4417001 w 8618536"/>
                <a:gd name="connsiteY24" fmla="*/ 261007 h 2668736"/>
                <a:gd name="connsiteX25" fmla="*/ 6268587 w 8618536"/>
                <a:gd name="connsiteY25" fmla="*/ 1324844 h 2668736"/>
                <a:gd name="connsiteX26" fmla="*/ 5828997 w 8618536"/>
                <a:gd name="connsiteY26" fmla="*/ 1589390 h 2668736"/>
                <a:gd name="connsiteX27" fmla="*/ 4524951 w 8618536"/>
                <a:gd name="connsiteY27" fmla="*/ 2441941 h 2668736"/>
                <a:gd name="connsiteX28" fmla="*/ 5785622 w 8618536"/>
                <a:gd name="connsiteY28" fmla="*/ 2433210 h 2668736"/>
                <a:gd name="connsiteX29" fmla="*/ 5784003 w 8618536"/>
                <a:gd name="connsiteY29" fmla="*/ 2434184 h 2668736"/>
                <a:gd name="connsiteX30" fmla="*/ 6753171 w 8618536"/>
                <a:gd name="connsiteY30" fmla="*/ 2434184 h 2668736"/>
                <a:gd name="connsiteX31" fmla="*/ 6751553 w 8618536"/>
                <a:gd name="connsiteY31" fmla="*/ 2433210 h 2668736"/>
                <a:gd name="connsiteX32" fmla="*/ 8169849 w 8618536"/>
                <a:gd name="connsiteY32" fmla="*/ 2433210 h 2668736"/>
                <a:gd name="connsiteX33" fmla="*/ 6611755 w 8618536"/>
                <a:gd name="connsiteY33" fmla="*/ 1531363 h 2668736"/>
                <a:gd name="connsiteX34" fmla="*/ 6268587 w 8618536"/>
                <a:gd name="connsiteY34" fmla="*/ 1324844 h 2668736"/>
                <a:gd name="connsiteX35" fmla="*/ 4190999 w 8618536"/>
                <a:gd name="connsiteY35" fmla="*/ 263464 h 2668736"/>
                <a:gd name="connsiteX36" fmla="*/ 2563665 w 8618536"/>
                <a:gd name="connsiteY36" fmla="*/ 1205389 h 2668736"/>
                <a:gd name="connsiteX37" fmla="*/ 4187824 w 8618536"/>
                <a:gd name="connsiteY37" fmla="*/ 2252089 h 2668736"/>
                <a:gd name="connsiteX38" fmla="*/ 4190999 w 8618536"/>
                <a:gd name="connsiteY38" fmla="*/ 263464 h 2668736"/>
                <a:gd name="connsiteX39" fmla="*/ 2338362 w 8618536"/>
                <a:gd name="connsiteY39" fmla="*/ 1317699 h 2668736"/>
                <a:gd name="connsiteX40" fmla="*/ 1865802 w 8618536"/>
                <a:gd name="connsiteY40" fmla="*/ 1609322 h 2668736"/>
                <a:gd name="connsiteX41" fmla="*/ 442396 w 8618536"/>
                <a:gd name="connsiteY41" fmla="*/ 2433210 h 2668736"/>
                <a:gd name="connsiteX42" fmla="*/ 1855398 w 8618536"/>
                <a:gd name="connsiteY42" fmla="*/ 2433210 h 2668736"/>
                <a:gd name="connsiteX43" fmla="*/ 1853778 w 8618536"/>
                <a:gd name="connsiteY43" fmla="*/ 2434185 h 2668736"/>
                <a:gd name="connsiteX44" fmla="*/ 2822946 w 8618536"/>
                <a:gd name="connsiteY44" fmla="*/ 2434185 h 2668736"/>
                <a:gd name="connsiteX45" fmla="*/ 2821326 w 8618536"/>
                <a:gd name="connsiteY45" fmla="*/ 2433210 h 2668736"/>
                <a:gd name="connsiteX46" fmla="*/ 4063999 w 8618536"/>
                <a:gd name="connsiteY46" fmla="*/ 2423685 h 2668736"/>
                <a:gd name="connsiteX47" fmla="*/ 2822946 w 8618536"/>
                <a:gd name="connsiteY47" fmla="*/ 1609322 h 2668736"/>
                <a:gd name="connsiteX48" fmla="*/ 2338362 w 8618536"/>
                <a:gd name="connsiteY48" fmla="*/ 1317699 h 26687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</a:cxnLst>
              <a:rect l="l" t="t" r="r" b="b"/>
              <a:pathLst>
                <a:path w="8618536" h="2668736">
                  <a:moveTo>
                    <a:pt x="4417215" y="0"/>
                  </a:moveTo>
                  <a:lnTo>
                    <a:pt x="8611683" y="2427820"/>
                  </a:lnTo>
                  <a:lnTo>
                    <a:pt x="8618088" y="2433210"/>
                  </a:lnTo>
                  <a:cubicBezTo>
                    <a:pt x="8618237" y="2509338"/>
                    <a:pt x="8618387" y="2585466"/>
                    <a:pt x="8618536" y="2661594"/>
                  </a:cubicBezTo>
                  <a:lnTo>
                    <a:pt x="6369626" y="2659212"/>
                  </a:lnTo>
                  <a:lnTo>
                    <a:pt x="6143624" y="2659212"/>
                  </a:lnTo>
                  <a:lnTo>
                    <a:pt x="4417001" y="2659212"/>
                  </a:lnTo>
                  <a:lnTo>
                    <a:pt x="4417001" y="2659213"/>
                  </a:lnTo>
                  <a:lnTo>
                    <a:pt x="4190999" y="2659213"/>
                  </a:lnTo>
                  <a:lnTo>
                    <a:pt x="4190999" y="2659212"/>
                  </a:lnTo>
                  <a:lnTo>
                    <a:pt x="0" y="2668736"/>
                  </a:lnTo>
                  <a:cubicBezTo>
                    <a:pt x="1226" y="2590227"/>
                    <a:pt x="2451" y="2511719"/>
                    <a:pt x="3677" y="2433210"/>
                  </a:cubicBezTo>
                  <a:lnTo>
                    <a:pt x="558" y="2427822"/>
                  </a:lnTo>
                  <a:lnTo>
                    <a:pt x="4190999" y="2333"/>
                  </a:lnTo>
                  <a:lnTo>
                    <a:pt x="4190999" y="5"/>
                  </a:lnTo>
                  <a:lnTo>
                    <a:pt x="4195022" y="5"/>
                  </a:lnTo>
                  <a:cubicBezTo>
                    <a:pt x="4195024" y="4"/>
                    <a:pt x="4195025" y="3"/>
                    <a:pt x="4195027" y="2"/>
                  </a:cubicBezTo>
                  <a:cubicBezTo>
                    <a:pt x="4195028" y="3"/>
                    <a:pt x="4195028" y="4"/>
                    <a:pt x="4195029" y="5"/>
                  </a:cubicBezTo>
                  <a:lnTo>
                    <a:pt x="4417001" y="5"/>
                  </a:lnTo>
                  <a:lnTo>
                    <a:pt x="4417001" y="369"/>
                  </a:lnTo>
                  <a:lnTo>
                    <a:pt x="4417215" y="0"/>
                  </a:lnTo>
                  <a:close/>
                  <a:moveTo>
                    <a:pt x="4417001" y="261007"/>
                  </a:moveTo>
                  <a:cubicBezTo>
                    <a:pt x="4414884" y="924111"/>
                    <a:pt x="4412768" y="1599121"/>
                    <a:pt x="4410651" y="2262225"/>
                  </a:cubicBezTo>
                  <a:lnTo>
                    <a:pt x="6044928" y="1203275"/>
                  </a:lnTo>
                  <a:lnTo>
                    <a:pt x="4417001" y="261007"/>
                  </a:lnTo>
                  <a:close/>
                  <a:moveTo>
                    <a:pt x="6268587" y="1324844"/>
                  </a:moveTo>
                  <a:lnTo>
                    <a:pt x="5828997" y="1589390"/>
                  </a:lnTo>
                  <a:lnTo>
                    <a:pt x="4524951" y="2441941"/>
                  </a:lnTo>
                  <a:lnTo>
                    <a:pt x="5785622" y="2433210"/>
                  </a:lnTo>
                  <a:lnTo>
                    <a:pt x="5784003" y="2434184"/>
                  </a:lnTo>
                  <a:lnTo>
                    <a:pt x="6753171" y="2434184"/>
                  </a:lnTo>
                  <a:lnTo>
                    <a:pt x="6751553" y="2433210"/>
                  </a:lnTo>
                  <a:lnTo>
                    <a:pt x="8169849" y="2433210"/>
                  </a:lnTo>
                  <a:lnTo>
                    <a:pt x="6611755" y="1531363"/>
                  </a:lnTo>
                  <a:lnTo>
                    <a:pt x="6268587" y="1324844"/>
                  </a:lnTo>
                  <a:close/>
                  <a:moveTo>
                    <a:pt x="4190999" y="263464"/>
                  </a:moveTo>
                  <a:lnTo>
                    <a:pt x="2563665" y="1205389"/>
                  </a:lnTo>
                  <a:lnTo>
                    <a:pt x="4187824" y="2252089"/>
                  </a:lnTo>
                  <a:cubicBezTo>
                    <a:pt x="4188882" y="1589214"/>
                    <a:pt x="4189941" y="926339"/>
                    <a:pt x="4190999" y="263464"/>
                  </a:cubicBezTo>
                  <a:close/>
                  <a:moveTo>
                    <a:pt x="2338362" y="1317699"/>
                  </a:moveTo>
                  <a:lnTo>
                    <a:pt x="1865802" y="1609322"/>
                  </a:lnTo>
                  <a:lnTo>
                    <a:pt x="442396" y="2433210"/>
                  </a:lnTo>
                  <a:lnTo>
                    <a:pt x="1855398" y="2433210"/>
                  </a:lnTo>
                  <a:lnTo>
                    <a:pt x="1853778" y="2434185"/>
                  </a:lnTo>
                  <a:lnTo>
                    <a:pt x="2822946" y="2434185"/>
                  </a:lnTo>
                  <a:lnTo>
                    <a:pt x="2821326" y="2433210"/>
                  </a:lnTo>
                  <a:lnTo>
                    <a:pt x="4063999" y="2423685"/>
                  </a:lnTo>
                  <a:lnTo>
                    <a:pt x="2822946" y="1609322"/>
                  </a:lnTo>
                  <a:lnTo>
                    <a:pt x="2338362" y="1317699"/>
                  </a:lnTo>
                  <a:close/>
                </a:path>
              </a:pathLst>
            </a:custGeom>
            <a:solidFill>
              <a:sysClr val="window" lastClr="FFFFFF"/>
            </a:solidFill>
            <a:ln w="3175" cap="rnd">
              <a:solidFill>
                <a:schemeClr val="bg1"/>
              </a:solidFill>
              <a:round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>
              <a:no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371475</xdr:colOff>
      <xdr:row>6</xdr:row>
      <xdr:rowOff>171450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/>
      </xdr:nvSpPr>
      <xdr:spPr>
        <a:xfrm>
          <a:off x="1752600" y="838200"/>
          <a:ext cx="2486025" cy="571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pt-BR" sz="1000" b="1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As</a:t>
          </a:r>
          <a:r>
            <a:rPr lang="pt-BR" sz="1000" b="1" baseline="0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cotas nas ilustrações representam as</a:t>
          </a:r>
          <a:r>
            <a:rPr lang="pt-BR" sz="1000" b="1" baseline="0">
              <a:solidFill>
                <a:srgbClr val="1D2125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pt-BR" sz="1000" b="1" u="none" baseline="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distâncias mínimas </a:t>
          </a:r>
          <a:r>
            <a:rPr lang="pt-BR" sz="1000" b="1" baseline="0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que satisfazem as verificações para as ligações adotadas.</a:t>
          </a:r>
          <a:endParaRPr lang="pt-BR" sz="1000" b="1">
            <a:solidFill>
              <a:schemeClr val="bg1">
                <a:lumMod val="75000"/>
              </a:schemeClr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1</xdr:col>
      <xdr:colOff>0</xdr:colOff>
      <xdr:row>6</xdr:row>
      <xdr:rowOff>153725</xdr:rowOff>
    </xdr:from>
    <xdr:to>
      <xdr:col>4</xdr:col>
      <xdr:colOff>434050</xdr:colOff>
      <xdr:row>7</xdr:row>
      <xdr:rowOff>144684</xdr:rowOff>
    </xdr:to>
    <xdr:sp macro="" textlink="">
      <xdr:nvSpPr>
        <xdr:cNvPr id="88" name="Retângulo: Cantos Arredondados 8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/>
      </xdr:nvSpPr>
      <xdr:spPr>
        <a:xfrm>
          <a:off x="1752600" y="1391975"/>
          <a:ext cx="2548600" cy="190984"/>
        </a:xfrm>
        <a:prstGeom prst="roundRect">
          <a:avLst>
            <a:gd name="adj" fmla="val 50000"/>
          </a:avLst>
        </a:prstGeom>
        <a:solidFill>
          <a:srgbClr val="343B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9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Ilustrações</a:t>
          </a:r>
          <a:r>
            <a:rPr lang="pt-BR" sz="900" b="1" baseline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com Dimensões Fora de Proporção</a:t>
          </a:r>
          <a:endParaRPr lang="pt-BR" sz="900" b="1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341589</xdr:colOff>
      <xdr:row>5</xdr:row>
      <xdr:rowOff>183931</xdr:rowOff>
    </xdr:from>
    <xdr:to>
      <xdr:col>12</xdr:col>
      <xdr:colOff>601872</xdr:colOff>
      <xdr:row>18</xdr:row>
      <xdr:rowOff>146031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6123" y="1280948"/>
          <a:ext cx="5758508" cy="25568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424700</xdr:colOff>
      <xdr:row>102</xdr:row>
      <xdr:rowOff>6569</xdr:rowOff>
    </xdr:from>
    <xdr:to>
      <xdr:col>14</xdr:col>
      <xdr:colOff>255859</xdr:colOff>
      <xdr:row>112</xdr:row>
      <xdr:rowOff>154558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1425" y="19875719"/>
          <a:ext cx="5241359" cy="2052989"/>
        </a:xfrm>
        <a:prstGeom prst="rect">
          <a:avLst/>
        </a:prstGeom>
      </xdr:spPr>
    </xdr:pic>
    <xdr:clientData/>
  </xdr:twoCellAnchor>
  <xdr:twoCellAnchor editAs="oneCell">
    <xdr:from>
      <xdr:col>5</xdr:col>
      <xdr:colOff>562529</xdr:colOff>
      <xdr:row>72</xdr:row>
      <xdr:rowOff>100452</xdr:rowOff>
    </xdr:from>
    <xdr:to>
      <xdr:col>9</xdr:col>
      <xdr:colOff>82529</xdr:colOff>
      <xdr:row>76</xdr:row>
      <xdr:rowOff>76290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9654" y="14140302"/>
          <a:ext cx="1958400" cy="775938"/>
        </a:xfrm>
        <a:prstGeom prst="rect">
          <a:avLst/>
        </a:prstGeom>
      </xdr:spPr>
    </xdr:pic>
    <xdr:clientData/>
  </xdr:twoCellAnchor>
  <xdr:twoCellAnchor editAs="oneCell">
    <xdr:from>
      <xdr:col>5</xdr:col>
      <xdr:colOff>550545</xdr:colOff>
      <xdr:row>78</xdr:row>
      <xdr:rowOff>18563</xdr:rowOff>
    </xdr:from>
    <xdr:to>
      <xdr:col>9</xdr:col>
      <xdr:colOff>80597</xdr:colOff>
      <xdr:row>80</xdr:row>
      <xdr:rowOff>13494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7670" y="15239513"/>
          <a:ext cx="1968452" cy="375931"/>
        </a:xfrm>
        <a:prstGeom prst="rect">
          <a:avLst/>
        </a:prstGeom>
      </xdr:spPr>
    </xdr:pic>
    <xdr:clientData/>
  </xdr:twoCellAnchor>
  <xdr:twoCellAnchor editAs="oneCell">
    <xdr:from>
      <xdr:col>10</xdr:col>
      <xdr:colOff>473140</xdr:colOff>
      <xdr:row>72</xdr:row>
      <xdr:rowOff>91660</xdr:rowOff>
    </xdr:from>
    <xdr:to>
      <xdr:col>13</xdr:col>
      <xdr:colOff>59082</xdr:colOff>
      <xdr:row>76</xdr:row>
      <xdr:rowOff>67498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88265" y="14131510"/>
          <a:ext cx="1948142" cy="775938"/>
        </a:xfrm>
        <a:prstGeom prst="rect">
          <a:avLst/>
        </a:prstGeom>
      </xdr:spPr>
    </xdr:pic>
    <xdr:clientData/>
  </xdr:twoCellAnchor>
  <xdr:twoCellAnchor editAs="oneCell">
    <xdr:from>
      <xdr:col>10</xdr:col>
      <xdr:colOff>461156</xdr:colOff>
      <xdr:row>78</xdr:row>
      <xdr:rowOff>9771</xdr:rowOff>
    </xdr:from>
    <xdr:to>
      <xdr:col>13</xdr:col>
      <xdr:colOff>57150</xdr:colOff>
      <xdr:row>80</xdr:row>
      <xdr:rowOff>4702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76281" y="15230721"/>
          <a:ext cx="1958194" cy="375931"/>
        </a:xfrm>
        <a:prstGeom prst="rect">
          <a:avLst/>
        </a:prstGeom>
      </xdr:spPr>
    </xdr:pic>
    <xdr:clientData/>
  </xdr:twoCellAnchor>
  <xdr:twoCellAnchor editAs="oneCell">
    <xdr:from>
      <xdr:col>5</xdr:col>
      <xdr:colOff>469197</xdr:colOff>
      <xdr:row>86</xdr:row>
      <xdr:rowOff>81103</xdr:rowOff>
    </xdr:from>
    <xdr:to>
      <xdr:col>9</xdr:col>
      <xdr:colOff>3052</xdr:colOff>
      <xdr:row>90</xdr:row>
      <xdr:rowOff>105060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36322" y="16864153"/>
          <a:ext cx="1972255" cy="785957"/>
        </a:xfrm>
        <a:prstGeom prst="rect">
          <a:avLst/>
        </a:prstGeom>
      </xdr:spPr>
    </xdr:pic>
    <xdr:clientData/>
  </xdr:twoCellAnchor>
  <xdr:twoCellAnchor editAs="oneCell">
    <xdr:from>
      <xdr:col>5</xdr:col>
      <xdr:colOff>472565</xdr:colOff>
      <xdr:row>92</xdr:row>
      <xdr:rowOff>123787</xdr:rowOff>
    </xdr:from>
    <xdr:to>
      <xdr:col>8</xdr:col>
      <xdr:colOff>604802</xdr:colOff>
      <xdr:row>94</xdr:row>
      <xdr:rowOff>135118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39690" y="18049837"/>
          <a:ext cx="1961037" cy="392331"/>
        </a:xfrm>
        <a:prstGeom prst="rect">
          <a:avLst/>
        </a:prstGeom>
      </xdr:spPr>
    </xdr:pic>
    <xdr:clientData/>
  </xdr:twoCellAnchor>
  <xdr:twoCellAnchor editAs="oneCell">
    <xdr:from>
      <xdr:col>10</xdr:col>
      <xdr:colOff>345372</xdr:colOff>
      <xdr:row>86</xdr:row>
      <xdr:rowOff>71578</xdr:rowOff>
    </xdr:from>
    <xdr:to>
      <xdr:col>12</xdr:col>
      <xdr:colOff>560545</xdr:colOff>
      <xdr:row>90</xdr:row>
      <xdr:rowOff>95535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60497" y="16854628"/>
          <a:ext cx="1967773" cy="785957"/>
        </a:xfrm>
        <a:prstGeom prst="rect">
          <a:avLst/>
        </a:prstGeom>
      </xdr:spPr>
    </xdr:pic>
    <xdr:clientData/>
  </xdr:twoCellAnchor>
  <xdr:twoCellAnchor editAs="oneCell">
    <xdr:from>
      <xdr:col>10</xdr:col>
      <xdr:colOff>348740</xdr:colOff>
      <xdr:row>92</xdr:row>
      <xdr:rowOff>114262</xdr:rowOff>
    </xdr:from>
    <xdr:to>
      <xdr:col>12</xdr:col>
      <xdr:colOff>557177</xdr:colOff>
      <xdr:row>94</xdr:row>
      <xdr:rowOff>125593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63865" y="18040312"/>
          <a:ext cx="1961037" cy="392331"/>
        </a:xfrm>
        <a:prstGeom prst="rect">
          <a:avLst/>
        </a:prstGeom>
      </xdr:spPr>
    </xdr:pic>
    <xdr:clientData/>
  </xdr:twoCellAnchor>
  <xdr:oneCellAnchor>
    <xdr:from>
      <xdr:col>28</xdr:col>
      <xdr:colOff>562529</xdr:colOff>
      <xdr:row>72</xdr:row>
      <xdr:rowOff>100452</xdr:rowOff>
    </xdr:from>
    <xdr:ext cx="1944545" cy="772475"/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45804" y="14140302"/>
          <a:ext cx="1944545" cy="772475"/>
        </a:xfrm>
        <a:prstGeom prst="rect">
          <a:avLst/>
        </a:prstGeom>
      </xdr:spPr>
    </xdr:pic>
    <xdr:clientData/>
  </xdr:oneCellAnchor>
  <xdr:oneCellAnchor>
    <xdr:from>
      <xdr:col>28</xdr:col>
      <xdr:colOff>550545</xdr:colOff>
      <xdr:row>78</xdr:row>
      <xdr:rowOff>18563</xdr:rowOff>
    </xdr:from>
    <xdr:ext cx="1954597" cy="375931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133820" y="15239513"/>
          <a:ext cx="1954597" cy="375931"/>
        </a:xfrm>
        <a:prstGeom prst="rect">
          <a:avLst/>
        </a:prstGeom>
      </xdr:spPr>
    </xdr:pic>
    <xdr:clientData/>
  </xdr:oneCellAnchor>
  <xdr:oneCellAnchor>
    <xdr:from>
      <xdr:col>33</xdr:col>
      <xdr:colOff>605662</xdr:colOff>
      <xdr:row>72</xdr:row>
      <xdr:rowOff>91660</xdr:rowOff>
    </xdr:from>
    <xdr:ext cx="1941215" cy="772475"/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36937" y="14131510"/>
          <a:ext cx="1941215" cy="772475"/>
        </a:xfrm>
        <a:prstGeom prst="rect">
          <a:avLst/>
        </a:prstGeom>
      </xdr:spPr>
    </xdr:pic>
    <xdr:clientData/>
  </xdr:oneCellAnchor>
  <xdr:oneCellAnchor>
    <xdr:from>
      <xdr:col>33</xdr:col>
      <xdr:colOff>593678</xdr:colOff>
      <xdr:row>78</xdr:row>
      <xdr:rowOff>9771</xdr:rowOff>
    </xdr:from>
    <xdr:ext cx="1951267" cy="375931"/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24953" y="15230721"/>
          <a:ext cx="1951267" cy="375931"/>
        </a:xfrm>
        <a:prstGeom prst="rect">
          <a:avLst/>
        </a:prstGeom>
      </xdr:spPr>
    </xdr:pic>
    <xdr:clientData/>
  </xdr:oneCellAnchor>
  <xdr:oneCellAnchor>
    <xdr:from>
      <xdr:col>28</xdr:col>
      <xdr:colOff>469197</xdr:colOff>
      <xdr:row>86</xdr:row>
      <xdr:rowOff>39688</xdr:rowOff>
    </xdr:from>
    <xdr:ext cx="1958400" cy="785957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2472" y="16822738"/>
          <a:ext cx="1958400" cy="785957"/>
        </a:xfrm>
        <a:prstGeom prst="rect">
          <a:avLst/>
        </a:prstGeom>
      </xdr:spPr>
    </xdr:pic>
    <xdr:clientData/>
  </xdr:oneCellAnchor>
  <xdr:oneCellAnchor>
    <xdr:from>
      <xdr:col>28</xdr:col>
      <xdr:colOff>472565</xdr:colOff>
      <xdr:row>92</xdr:row>
      <xdr:rowOff>123787</xdr:rowOff>
    </xdr:from>
    <xdr:ext cx="1950646" cy="392331"/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5840" y="18049837"/>
          <a:ext cx="1950646" cy="392331"/>
        </a:xfrm>
        <a:prstGeom prst="rect">
          <a:avLst/>
        </a:prstGeom>
      </xdr:spPr>
    </xdr:pic>
    <xdr:clientData/>
  </xdr:oneCellAnchor>
  <xdr:oneCellAnchor>
    <xdr:from>
      <xdr:col>33</xdr:col>
      <xdr:colOff>477894</xdr:colOff>
      <xdr:row>86</xdr:row>
      <xdr:rowOff>30163</xdr:rowOff>
    </xdr:from>
    <xdr:ext cx="1964310" cy="785957"/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109169" y="16813213"/>
          <a:ext cx="1964310" cy="785957"/>
        </a:xfrm>
        <a:prstGeom prst="rect">
          <a:avLst/>
        </a:prstGeom>
      </xdr:spPr>
    </xdr:pic>
    <xdr:clientData/>
  </xdr:oneCellAnchor>
  <xdr:oneCellAnchor>
    <xdr:from>
      <xdr:col>33</xdr:col>
      <xdr:colOff>481262</xdr:colOff>
      <xdr:row>92</xdr:row>
      <xdr:rowOff>114262</xdr:rowOff>
    </xdr:from>
    <xdr:ext cx="1957574" cy="392331"/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112537" y="18040312"/>
          <a:ext cx="1957574" cy="392331"/>
        </a:xfrm>
        <a:prstGeom prst="rect">
          <a:avLst/>
        </a:prstGeom>
      </xdr:spPr>
    </xdr:pic>
    <xdr:clientData/>
  </xdr:oneCellAnchor>
  <xdr:twoCellAnchor editAs="oneCell">
    <xdr:from>
      <xdr:col>15</xdr:col>
      <xdr:colOff>499656</xdr:colOff>
      <xdr:row>72</xdr:row>
      <xdr:rowOff>113044</xdr:rowOff>
    </xdr:from>
    <xdr:to>
      <xdr:col>17</xdr:col>
      <xdr:colOff>566828</xdr:colOff>
      <xdr:row>75</xdr:row>
      <xdr:rowOff>9421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72331" y="14152894"/>
          <a:ext cx="1972172" cy="467877"/>
        </a:xfrm>
        <a:prstGeom prst="rect">
          <a:avLst/>
        </a:prstGeom>
      </xdr:spPr>
    </xdr:pic>
    <xdr:clientData/>
  </xdr:twoCellAnchor>
  <xdr:twoCellAnchor editAs="oneCell">
    <xdr:from>
      <xdr:col>15</xdr:col>
      <xdr:colOff>315437</xdr:colOff>
      <xdr:row>88</xdr:row>
      <xdr:rowOff>72232</xdr:rowOff>
    </xdr:from>
    <xdr:to>
      <xdr:col>17</xdr:col>
      <xdr:colOff>382611</xdr:colOff>
      <xdr:row>91</xdr:row>
      <xdr:rowOff>76414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288112" y="17236282"/>
          <a:ext cx="1972174" cy="575682"/>
        </a:xfrm>
        <a:prstGeom prst="rect">
          <a:avLst/>
        </a:prstGeom>
      </xdr:spPr>
    </xdr:pic>
    <xdr:clientData/>
  </xdr:twoCellAnchor>
  <xdr:twoCellAnchor editAs="oneCell">
    <xdr:from>
      <xdr:col>19</xdr:col>
      <xdr:colOff>375835</xdr:colOff>
      <xdr:row>86</xdr:row>
      <xdr:rowOff>47121</xdr:rowOff>
    </xdr:from>
    <xdr:to>
      <xdr:col>22</xdr:col>
      <xdr:colOff>511837</xdr:colOff>
      <xdr:row>90</xdr:row>
      <xdr:rowOff>76413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472710" y="16830171"/>
          <a:ext cx="1964802" cy="791292"/>
        </a:xfrm>
        <a:prstGeom prst="rect">
          <a:avLst/>
        </a:prstGeom>
      </xdr:spPr>
    </xdr:pic>
    <xdr:clientData/>
  </xdr:twoCellAnchor>
  <xdr:twoCellAnchor editAs="oneCell">
    <xdr:from>
      <xdr:col>19</xdr:col>
      <xdr:colOff>393631</xdr:colOff>
      <xdr:row>93</xdr:row>
      <xdr:rowOff>72326</xdr:rowOff>
    </xdr:from>
    <xdr:to>
      <xdr:col>22</xdr:col>
      <xdr:colOff>533818</xdr:colOff>
      <xdr:row>95</xdr:row>
      <xdr:rowOff>83738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490506" y="18188876"/>
          <a:ext cx="1968987" cy="392412"/>
        </a:xfrm>
        <a:prstGeom prst="rect">
          <a:avLst/>
        </a:prstGeom>
      </xdr:spPr>
    </xdr:pic>
    <xdr:clientData/>
  </xdr:twoCellAnchor>
  <xdr:twoCellAnchor editAs="oneCell">
    <xdr:from>
      <xdr:col>19</xdr:col>
      <xdr:colOff>547495</xdr:colOff>
      <xdr:row>72</xdr:row>
      <xdr:rowOff>123529</xdr:rowOff>
    </xdr:from>
    <xdr:to>
      <xdr:col>23</xdr:col>
      <xdr:colOff>75362</xdr:colOff>
      <xdr:row>76</xdr:row>
      <xdr:rowOff>112000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644370" y="14163379"/>
          <a:ext cx="1966267" cy="788571"/>
        </a:xfrm>
        <a:prstGeom prst="rect">
          <a:avLst/>
        </a:prstGeom>
      </xdr:spPr>
    </xdr:pic>
    <xdr:clientData/>
  </xdr:twoCellAnchor>
  <xdr:twoCellAnchor editAs="oneCell">
    <xdr:from>
      <xdr:col>19</xdr:col>
      <xdr:colOff>594597</xdr:colOff>
      <xdr:row>78</xdr:row>
      <xdr:rowOff>38957</xdr:rowOff>
    </xdr:from>
    <xdr:to>
      <xdr:col>23</xdr:col>
      <xdr:colOff>122462</xdr:colOff>
      <xdr:row>80</xdr:row>
      <xdr:rowOff>46059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691472" y="15259907"/>
          <a:ext cx="1966265" cy="385381"/>
        </a:xfrm>
        <a:prstGeom prst="rect">
          <a:avLst/>
        </a:prstGeom>
      </xdr:spPr>
    </xdr:pic>
    <xdr:clientData/>
  </xdr:twoCellAnchor>
  <xdr:oneCellAnchor>
    <xdr:from>
      <xdr:col>15</xdr:col>
      <xdr:colOff>138755</xdr:colOff>
      <xdr:row>100</xdr:row>
      <xdr:rowOff>95642</xdr:rowOff>
    </xdr:from>
    <xdr:ext cx="5847492" cy="2985976"/>
    <xdr:pic>
      <xdr:nvPicPr>
        <xdr:cNvPr id="24" name="Imagem 23" hidden="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111430" y="19545692"/>
          <a:ext cx="5847492" cy="2985976"/>
        </a:xfrm>
        <a:prstGeom prst="rect">
          <a:avLst/>
        </a:prstGeom>
      </xdr:spPr>
    </xdr:pic>
    <xdr:clientData/>
  </xdr:oneCellAnchor>
  <xdr:oneCellAnchor>
    <xdr:from>
      <xdr:col>25</xdr:col>
      <xdr:colOff>138755</xdr:colOff>
      <xdr:row>100</xdr:row>
      <xdr:rowOff>95642</xdr:rowOff>
    </xdr:from>
    <xdr:ext cx="5847492" cy="2985976"/>
    <xdr:pic>
      <xdr:nvPicPr>
        <xdr:cNvPr id="25" name="Imagem 24" hidden="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893230" y="19545692"/>
          <a:ext cx="5847492" cy="2985976"/>
        </a:xfrm>
        <a:prstGeom prst="rect">
          <a:avLst/>
        </a:prstGeom>
      </xdr:spPr>
    </xdr:pic>
    <xdr:clientData/>
  </xdr:oneCellAnchor>
  <xdr:twoCellAnchor editAs="oneCell">
    <xdr:from>
      <xdr:col>6</xdr:col>
      <xdr:colOff>476250</xdr:colOff>
      <xdr:row>99</xdr:row>
      <xdr:rowOff>102513</xdr:rowOff>
    </xdr:from>
    <xdr:to>
      <xdr:col>14</xdr:col>
      <xdr:colOff>161925</xdr:colOff>
      <xdr:row>117</xdr:row>
      <xdr:rowOff>95395</xdr:rowOff>
    </xdr:to>
    <xdr:pic>
      <xdr:nvPicPr>
        <xdr:cNvPr id="26" name="Imagem 25" hidden="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48242"/>
        <a:stretch/>
      </xdr:blipFill>
      <xdr:spPr>
        <a:xfrm>
          <a:off x="4752975" y="19362063"/>
          <a:ext cx="5095875" cy="3498083"/>
        </a:xfrm>
        <a:prstGeom prst="rect">
          <a:avLst/>
        </a:prstGeom>
      </xdr:spPr>
    </xdr:pic>
    <xdr:clientData/>
  </xdr:twoCellAnchor>
  <xdr:oneCellAnchor>
    <xdr:from>
      <xdr:col>37</xdr:col>
      <xdr:colOff>476250</xdr:colOff>
      <xdr:row>99</xdr:row>
      <xdr:rowOff>102513</xdr:rowOff>
    </xdr:from>
    <xdr:ext cx="5075705" cy="3493601"/>
    <xdr:pic>
      <xdr:nvPicPr>
        <xdr:cNvPr id="30" name="Imagem 29" hidden="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48242"/>
        <a:stretch/>
      </xdr:blipFill>
      <xdr:spPr>
        <a:xfrm>
          <a:off x="24545925" y="19362063"/>
          <a:ext cx="5075705" cy="3493601"/>
        </a:xfrm>
        <a:prstGeom prst="rect">
          <a:avLst/>
        </a:prstGeom>
      </xdr:spPr>
    </xdr:pic>
    <xdr:clientData/>
  </xdr:oneCellAnchor>
  <xdr:oneCellAnchor>
    <xdr:from>
      <xdr:col>47</xdr:col>
      <xdr:colOff>476250</xdr:colOff>
      <xdr:row>99</xdr:row>
      <xdr:rowOff>102513</xdr:rowOff>
    </xdr:from>
    <xdr:ext cx="5075705" cy="3493601"/>
    <xdr:pic>
      <xdr:nvPicPr>
        <xdr:cNvPr id="32" name="Imagem 31" hidden="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48242"/>
        <a:stretch/>
      </xdr:blipFill>
      <xdr:spPr>
        <a:xfrm>
          <a:off x="32775525" y="19362063"/>
          <a:ext cx="5075705" cy="3493601"/>
        </a:xfrm>
        <a:prstGeom prst="rect">
          <a:avLst/>
        </a:prstGeom>
      </xdr:spPr>
    </xdr:pic>
    <xdr:clientData/>
  </xdr:oneCellAnchor>
  <xdr:oneCellAnchor>
    <xdr:from>
      <xdr:col>38</xdr:col>
      <xdr:colOff>562529</xdr:colOff>
      <xdr:row>72</xdr:row>
      <xdr:rowOff>100452</xdr:rowOff>
    </xdr:from>
    <xdr:ext cx="1944545" cy="772475"/>
    <xdr:pic>
      <xdr:nvPicPr>
        <xdr:cNvPr id="34" name="Imagem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41804" y="14140302"/>
          <a:ext cx="1944545" cy="772475"/>
        </a:xfrm>
        <a:prstGeom prst="rect">
          <a:avLst/>
        </a:prstGeom>
      </xdr:spPr>
    </xdr:pic>
    <xdr:clientData/>
  </xdr:oneCellAnchor>
  <xdr:oneCellAnchor>
    <xdr:from>
      <xdr:col>38</xdr:col>
      <xdr:colOff>550545</xdr:colOff>
      <xdr:row>78</xdr:row>
      <xdr:rowOff>18563</xdr:rowOff>
    </xdr:from>
    <xdr:ext cx="1954597" cy="375931"/>
    <xdr:pic>
      <xdr:nvPicPr>
        <xdr:cNvPr id="35" name="Imagem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29820" y="15239513"/>
          <a:ext cx="1954597" cy="375931"/>
        </a:xfrm>
        <a:prstGeom prst="rect">
          <a:avLst/>
        </a:prstGeom>
      </xdr:spPr>
    </xdr:pic>
    <xdr:clientData/>
  </xdr:oneCellAnchor>
  <xdr:oneCellAnchor>
    <xdr:from>
      <xdr:col>38</xdr:col>
      <xdr:colOff>469197</xdr:colOff>
      <xdr:row>86</xdr:row>
      <xdr:rowOff>39688</xdr:rowOff>
    </xdr:from>
    <xdr:ext cx="1958400" cy="785957"/>
    <xdr:pic>
      <xdr:nvPicPr>
        <xdr:cNvPr id="36" name="Imagem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148472" y="16822738"/>
          <a:ext cx="1958400" cy="785957"/>
        </a:xfrm>
        <a:prstGeom prst="rect">
          <a:avLst/>
        </a:prstGeom>
      </xdr:spPr>
    </xdr:pic>
    <xdr:clientData/>
  </xdr:oneCellAnchor>
  <xdr:oneCellAnchor>
    <xdr:from>
      <xdr:col>38</xdr:col>
      <xdr:colOff>472565</xdr:colOff>
      <xdr:row>92</xdr:row>
      <xdr:rowOff>123787</xdr:rowOff>
    </xdr:from>
    <xdr:ext cx="1950646" cy="392331"/>
    <xdr:pic>
      <xdr:nvPicPr>
        <xdr:cNvPr id="37" name="Imagem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151840" y="18049837"/>
          <a:ext cx="1950646" cy="392331"/>
        </a:xfrm>
        <a:prstGeom prst="rect">
          <a:avLst/>
        </a:prstGeom>
      </xdr:spPr>
    </xdr:pic>
    <xdr:clientData/>
  </xdr:oneCellAnchor>
  <xdr:twoCellAnchor editAs="oneCell">
    <xdr:from>
      <xdr:col>16</xdr:col>
      <xdr:colOff>481850</xdr:colOff>
      <xdr:row>101</xdr:row>
      <xdr:rowOff>187544</xdr:rowOff>
    </xdr:from>
    <xdr:to>
      <xdr:col>24</xdr:col>
      <xdr:colOff>551134</xdr:colOff>
      <xdr:row>112</xdr:row>
      <xdr:rowOff>145033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4650" y="19866194"/>
          <a:ext cx="5241359" cy="2052989"/>
        </a:xfrm>
        <a:prstGeom prst="rect">
          <a:avLst/>
        </a:prstGeom>
      </xdr:spPr>
    </xdr:pic>
    <xdr:clientData/>
  </xdr:twoCellAnchor>
  <xdr:twoCellAnchor editAs="oneCell">
    <xdr:from>
      <xdr:col>27</xdr:col>
      <xdr:colOff>114705</xdr:colOff>
      <xdr:row>102</xdr:row>
      <xdr:rowOff>45534</xdr:rowOff>
    </xdr:from>
    <xdr:to>
      <xdr:col>35</xdr:col>
      <xdr:colOff>478398</xdr:colOff>
      <xdr:row>113</xdr:row>
      <xdr:rowOff>3023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39023" y="19892170"/>
          <a:ext cx="5212784" cy="2052989"/>
        </a:xfrm>
        <a:prstGeom prst="rect">
          <a:avLst/>
        </a:prstGeom>
      </xdr:spPr>
    </xdr:pic>
    <xdr:clientData/>
  </xdr:twoCellAnchor>
  <xdr:twoCellAnchor editAs="oneCell">
    <xdr:from>
      <xdr:col>38</xdr:col>
      <xdr:colOff>41969</xdr:colOff>
      <xdr:row>102</xdr:row>
      <xdr:rowOff>94024</xdr:rowOff>
    </xdr:from>
    <xdr:to>
      <xdr:col>44</xdr:col>
      <xdr:colOff>320803</xdr:colOff>
      <xdr:row>113</xdr:row>
      <xdr:rowOff>51513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33787" y="19940660"/>
          <a:ext cx="5212784" cy="2052989"/>
        </a:xfrm>
        <a:prstGeom prst="rect">
          <a:avLst/>
        </a:prstGeom>
      </xdr:spPr>
    </xdr:pic>
    <xdr:clientData/>
  </xdr:twoCellAnchor>
  <xdr:twoCellAnchor editAs="oneCell">
    <xdr:from>
      <xdr:col>48</xdr:col>
      <xdr:colOff>194369</xdr:colOff>
      <xdr:row>102</xdr:row>
      <xdr:rowOff>55924</xdr:rowOff>
    </xdr:from>
    <xdr:to>
      <xdr:col>53</xdr:col>
      <xdr:colOff>511303</xdr:colOff>
      <xdr:row>113</xdr:row>
      <xdr:rowOff>13413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60432" y="19963174"/>
          <a:ext cx="5284221" cy="2052989"/>
        </a:xfrm>
        <a:prstGeom prst="rect">
          <a:avLst/>
        </a:prstGeom>
      </xdr:spPr>
    </xdr:pic>
    <xdr:clientData/>
  </xdr:twoCellAnchor>
  <xdr:oneCellAnchor>
    <xdr:from>
      <xdr:col>6</xdr:col>
      <xdr:colOff>424700</xdr:colOff>
      <xdr:row>124</xdr:row>
      <xdr:rowOff>6569</xdr:rowOff>
    </xdr:from>
    <xdr:ext cx="5260409" cy="2052989"/>
    <xdr:pic>
      <xdr:nvPicPr>
        <xdr:cNvPr id="48" name="Imagem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0950" y="19872998"/>
          <a:ext cx="5260409" cy="2052989"/>
        </a:xfrm>
        <a:prstGeom prst="rect">
          <a:avLst/>
        </a:prstGeom>
      </xdr:spPr>
    </xdr:pic>
    <xdr:clientData/>
  </xdr:oneCellAnchor>
  <xdr:oneCellAnchor>
    <xdr:from>
      <xdr:col>6</xdr:col>
      <xdr:colOff>476250</xdr:colOff>
      <xdr:row>121</xdr:row>
      <xdr:rowOff>102513</xdr:rowOff>
    </xdr:from>
    <xdr:ext cx="5114925" cy="3503526"/>
    <xdr:pic>
      <xdr:nvPicPr>
        <xdr:cNvPr id="49" name="Imagem 48" hidden="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48242"/>
        <a:stretch/>
      </xdr:blipFill>
      <xdr:spPr>
        <a:xfrm>
          <a:off x="4762500" y="19356620"/>
          <a:ext cx="5114925" cy="3503526"/>
        </a:xfrm>
        <a:prstGeom prst="rect">
          <a:avLst/>
        </a:prstGeom>
      </xdr:spPr>
    </xdr:pic>
    <xdr:clientData/>
  </xdr:oneCellAnchor>
  <xdr:oneCellAnchor>
    <xdr:from>
      <xdr:col>16</xdr:col>
      <xdr:colOff>424700</xdr:colOff>
      <xdr:row>124</xdr:row>
      <xdr:rowOff>6569</xdr:rowOff>
    </xdr:from>
    <xdr:ext cx="5260409" cy="2052989"/>
    <xdr:pic>
      <xdr:nvPicPr>
        <xdr:cNvPr id="50" name="Imagem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0950" y="24145640"/>
          <a:ext cx="5260409" cy="2052989"/>
        </a:xfrm>
        <a:prstGeom prst="rect">
          <a:avLst/>
        </a:prstGeom>
      </xdr:spPr>
    </xdr:pic>
    <xdr:clientData/>
  </xdr:oneCellAnchor>
  <xdr:oneCellAnchor>
    <xdr:from>
      <xdr:col>16</xdr:col>
      <xdr:colOff>476250</xdr:colOff>
      <xdr:row>121</xdr:row>
      <xdr:rowOff>102513</xdr:rowOff>
    </xdr:from>
    <xdr:ext cx="5114925" cy="3503526"/>
    <xdr:pic>
      <xdr:nvPicPr>
        <xdr:cNvPr id="51" name="Imagem 50" hidden="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48242"/>
        <a:stretch/>
      </xdr:blipFill>
      <xdr:spPr>
        <a:xfrm>
          <a:off x="4762500" y="23629263"/>
          <a:ext cx="5114925" cy="3503526"/>
        </a:xfrm>
        <a:prstGeom prst="rect">
          <a:avLst/>
        </a:prstGeom>
      </xdr:spPr>
    </xdr:pic>
    <xdr:clientData/>
  </xdr:oneCellAnchor>
  <xdr:oneCellAnchor>
    <xdr:from>
      <xdr:col>6</xdr:col>
      <xdr:colOff>424700</xdr:colOff>
      <xdr:row>144</xdr:row>
      <xdr:rowOff>6569</xdr:rowOff>
    </xdr:from>
    <xdr:ext cx="5260409" cy="2052989"/>
    <xdr:pic>
      <xdr:nvPicPr>
        <xdr:cNvPr id="52" name="Imagem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0950" y="24145640"/>
          <a:ext cx="5260409" cy="2052989"/>
        </a:xfrm>
        <a:prstGeom prst="rect">
          <a:avLst/>
        </a:prstGeom>
      </xdr:spPr>
    </xdr:pic>
    <xdr:clientData/>
  </xdr:oneCellAnchor>
  <xdr:oneCellAnchor>
    <xdr:from>
      <xdr:col>6</xdr:col>
      <xdr:colOff>476250</xdr:colOff>
      <xdr:row>141</xdr:row>
      <xdr:rowOff>102513</xdr:rowOff>
    </xdr:from>
    <xdr:ext cx="5114925" cy="3503526"/>
    <xdr:pic>
      <xdr:nvPicPr>
        <xdr:cNvPr id="53" name="Imagem 52" hidden="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48242"/>
        <a:stretch/>
      </xdr:blipFill>
      <xdr:spPr>
        <a:xfrm>
          <a:off x="4762500" y="23629263"/>
          <a:ext cx="5114925" cy="350352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200265</xdr:colOff>
      <xdr:row>79</xdr:row>
      <xdr:rowOff>166006</xdr:rowOff>
    </xdr:from>
    <xdr:to>
      <xdr:col>27</xdr:col>
      <xdr:colOff>318370</xdr:colOff>
      <xdr:row>106</xdr:row>
      <xdr:rowOff>2519</xdr:rowOff>
    </xdr:to>
    <xdr:sp macro="" textlink="">
      <xdr:nvSpPr>
        <xdr:cNvPr id="28" name="Retângulo: Cantos Arredondados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/>
      </xdr:nvSpPr>
      <xdr:spPr>
        <a:xfrm>
          <a:off x="19697940" y="20178031"/>
          <a:ext cx="2146930" cy="4980013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25</xdr:col>
      <xdr:colOff>608135</xdr:colOff>
      <xdr:row>22</xdr:row>
      <xdr:rowOff>139211</xdr:rowOff>
    </xdr:from>
    <xdr:to>
      <xdr:col>28</xdr:col>
      <xdr:colOff>350</xdr:colOff>
      <xdr:row>25</xdr:row>
      <xdr:rowOff>145752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185817</xdr:colOff>
      <xdr:row>16</xdr:row>
      <xdr:rowOff>185854</xdr:rowOff>
    </xdr:from>
    <xdr:to>
      <xdr:col>30</xdr:col>
      <xdr:colOff>235128</xdr:colOff>
      <xdr:row>19</xdr:row>
      <xdr:rowOff>174071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185059</xdr:colOff>
      <xdr:row>18</xdr:row>
      <xdr:rowOff>104285</xdr:rowOff>
    </xdr:from>
    <xdr:to>
      <xdr:col>30</xdr:col>
      <xdr:colOff>235131</xdr:colOff>
      <xdr:row>21</xdr:row>
      <xdr:rowOff>92502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185059</xdr:colOff>
      <xdr:row>20</xdr:row>
      <xdr:rowOff>21984</xdr:rowOff>
    </xdr:from>
    <xdr:to>
      <xdr:col>30</xdr:col>
      <xdr:colOff>235131</xdr:colOff>
      <xdr:row>23</xdr:row>
      <xdr:rowOff>10201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185060</xdr:colOff>
      <xdr:row>21</xdr:row>
      <xdr:rowOff>130917</xdr:rowOff>
    </xdr:from>
    <xdr:to>
      <xdr:col>30</xdr:col>
      <xdr:colOff>235132</xdr:colOff>
      <xdr:row>24</xdr:row>
      <xdr:rowOff>119134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185060</xdr:colOff>
      <xdr:row>23</xdr:row>
      <xdr:rowOff>43963</xdr:rowOff>
    </xdr:from>
    <xdr:to>
      <xdr:col>30</xdr:col>
      <xdr:colOff>235131</xdr:colOff>
      <xdr:row>26</xdr:row>
      <xdr:rowOff>32180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185060</xdr:colOff>
      <xdr:row>24</xdr:row>
      <xdr:rowOff>154549</xdr:rowOff>
    </xdr:from>
    <xdr:to>
      <xdr:col>30</xdr:col>
      <xdr:colOff>235131</xdr:colOff>
      <xdr:row>27</xdr:row>
      <xdr:rowOff>142766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185060</xdr:colOff>
      <xdr:row>26</xdr:row>
      <xdr:rowOff>69986</xdr:rowOff>
    </xdr:from>
    <xdr:to>
      <xdr:col>30</xdr:col>
      <xdr:colOff>235131</xdr:colOff>
      <xdr:row>29</xdr:row>
      <xdr:rowOff>58203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28</xdr:col>
      <xdr:colOff>185060</xdr:colOff>
      <xdr:row>27</xdr:row>
      <xdr:rowOff>175922</xdr:rowOff>
    </xdr:from>
    <xdr:to>
      <xdr:col>30</xdr:col>
      <xdr:colOff>235131</xdr:colOff>
      <xdr:row>30</xdr:row>
      <xdr:rowOff>164139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2443</xdr:colOff>
      <xdr:row>75</xdr:row>
      <xdr:rowOff>27013</xdr:rowOff>
    </xdr:to>
    <xdr:sp macro="" textlink="">
      <xdr:nvSpPr>
        <xdr:cNvPr id="22" name="Retângulo: Cantos Arredondados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/>
      </xdr:nvSpPr>
      <xdr:spPr>
        <a:xfrm>
          <a:off x="24336375" y="14287500"/>
          <a:ext cx="2145568" cy="4980013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2443</xdr:colOff>
      <xdr:row>75</xdr:row>
      <xdr:rowOff>27013</xdr:rowOff>
    </xdr:to>
    <xdr:sp macro="" textlink="">
      <xdr:nvSpPr>
        <xdr:cNvPr id="23" name="Retângulo: Cantos Arredondados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/>
      </xdr:nvSpPr>
      <xdr:spPr>
        <a:xfrm>
          <a:off x="27098625" y="14287500"/>
          <a:ext cx="2145568" cy="4980013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2443</xdr:colOff>
      <xdr:row>75</xdr:row>
      <xdr:rowOff>27013</xdr:rowOff>
    </xdr:to>
    <xdr:sp macro="" textlink="">
      <xdr:nvSpPr>
        <xdr:cNvPr id="24" name="Retângulo: Cantos Arredondados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/>
      </xdr:nvSpPr>
      <xdr:spPr>
        <a:xfrm>
          <a:off x="29860875" y="14287500"/>
          <a:ext cx="2145568" cy="4980013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37</xdr:col>
      <xdr:colOff>0</xdr:colOff>
      <xdr:row>49</xdr:row>
      <xdr:rowOff>0</xdr:rowOff>
    </xdr:from>
    <xdr:to>
      <xdr:col>38</xdr:col>
      <xdr:colOff>2442</xdr:colOff>
      <xdr:row>75</xdr:row>
      <xdr:rowOff>27013</xdr:rowOff>
    </xdr:to>
    <xdr:sp macro="" textlink="">
      <xdr:nvSpPr>
        <xdr:cNvPr id="25" name="Retângulo: Cantos Arredondados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/>
      </xdr:nvSpPr>
      <xdr:spPr>
        <a:xfrm>
          <a:off x="32623125" y="14287500"/>
          <a:ext cx="2145567" cy="4980013"/>
        </a:xfrm>
        <a:prstGeom prst="roundRect">
          <a:avLst>
            <a:gd name="adj" fmla="val 10605"/>
          </a:avLst>
        </a:prstGeom>
        <a:solidFill>
          <a:srgbClr val="1D2125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90000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pt-BR" sz="1100" kern="1200">
            <a:solidFill>
              <a:schemeClr val="bg1"/>
            </a:solidFill>
            <a:latin typeface="Segoe UI Semibold" panose="020B0702040204020203" pitchFamily="34" charset="0"/>
            <a:ea typeface="+mn-ea"/>
            <a:cs typeface="Segoe UI Semibold" panose="020B0702040204020203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66198</xdr:colOff>
          <xdr:row>78</xdr:row>
          <xdr:rowOff>2842</xdr:rowOff>
        </xdr:from>
        <xdr:to>
          <xdr:col>32</xdr:col>
          <xdr:colOff>228601</xdr:colOff>
          <xdr:row>107</xdr:row>
          <xdr:rowOff>165682</xdr:rowOff>
        </xdr:to>
        <xdr:grpSp>
          <xdr:nvGrpSpPr>
            <xdr:cNvPr id="30" name="Agrupar 29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GrpSpPr/>
          </xdr:nvGrpSpPr>
          <xdr:grpSpPr>
            <a:xfrm>
              <a:off x="25568458" y="18884608"/>
              <a:ext cx="2992688" cy="5328606"/>
              <a:chOff x="19378135" y="19814842"/>
              <a:chExt cx="2924653" cy="5687340"/>
            </a:xfrm>
          </xdr:grpSpPr>
          <xdr:pic>
            <xdr:nvPicPr>
              <xdr:cNvPr id="29" name="Imagem 28">
                <a:extLst>
                  <a:ext uri="{FF2B5EF4-FFF2-40B4-BE49-F238E27FC236}">
                    <a16:creationId xmlns:a16="http://schemas.microsoft.com/office/drawing/2014/main" id="{00000000-0008-0000-0A00-00001D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$AF$48" spid="_x0000_s38840"/>
                  </a:ext>
                </a:extLst>
              </xdr:cNvPicPr>
            </xdr:nvPicPr>
            <xdr:blipFill rotWithShape="1">
              <a:blip xmlns:r="http://schemas.openxmlformats.org/officeDocument/2006/relationships" r:embed="rId10"/>
              <a:srcRect l="1642" t="569" r="1640" b="910"/>
              <a:stretch>
                <a:fillRect/>
              </a:stretch>
            </xdr:blipFill>
            <xdr:spPr bwMode="auto">
              <a:xfrm>
                <a:off x="19378135" y="19814842"/>
                <a:ext cx="2924653" cy="5687340"/>
              </a:xfrm>
              <a:prstGeom prst="roundRect">
                <a:avLst>
                  <a:gd name="adj" fmla="val 11879"/>
                </a:avLst>
              </a:prstGeom>
              <a:noFill/>
              <a:effectLst>
                <a:softEdge rad="317500"/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7" name="Imagem 26">
                <a:extLst>
                  <a:ext uri="{FF2B5EF4-FFF2-40B4-BE49-F238E27FC236}">
                    <a16:creationId xmlns:a16="http://schemas.microsoft.com/office/drawing/2014/main" id="{00000000-0008-0000-0A00-00001B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$AF$48" spid="_x0000_s38841"/>
                  </a:ext>
                </a:extLst>
              </xdr:cNvPicPr>
            </xdr:nvPicPr>
            <xdr:blipFill rotWithShape="1">
              <a:blip xmlns:r="http://schemas.openxmlformats.org/officeDocument/2006/relationships" r:embed="rId10"/>
              <a:srcRect l="1642" t="569" r="1640" b="910"/>
              <a:stretch>
                <a:fillRect/>
              </a:stretch>
            </xdr:blipFill>
            <xdr:spPr bwMode="auto">
              <a:xfrm>
                <a:off x="19697461" y="20102512"/>
                <a:ext cx="2286000" cy="5112000"/>
              </a:xfrm>
              <a:prstGeom prst="roundRect">
                <a:avLst>
                  <a:gd name="adj" fmla="val 11879"/>
                </a:avLst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clientData/>
      </xdr:twoCellAnchor>
    </mc:Choice>
    <mc:Fallback/>
  </mc:AlternateContent>
  <xdr:twoCellAnchor>
    <xdr:from>
      <xdr:col>33</xdr:col>
      <xdr:colOff>1609725</xdr:colOff>
      <xdr:row>42</xdr:row>
      <xdr:rowOff>19050</xdr:rowOff>
    </xdr:from>
    <xdr:to>
      <xdr:col>35</xdr:col>
      <xdr:colOff>609600</xdr:colOff>
      <xdr:row>43</xdr:row>
      <xdr:rowOff>58969</xdr:rowOff>
    </xdr:to>
    <xdr:grpSp>
      <xdr:nvGrpSpPr>
        <xdr:cNvPr id="19" name="Agrupar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GrpSpPr/>
      </xdr:nvGrpSpPr>
      <xdr:grpSpPr>
        <a:xfrm>
          <a:off x="30520005" y="7700010"/>
          <a:ext cx="1826895" cy="238039"/>
          <a:chOff x="27574875" y="10639425"/>
          <a:chExt cx="1762125" cy="239944"/>
        </a:xfrm>
      </xdr:grpSpPr>
      <xdr:sp macro="" textlink="">
        <xdr:nvSpPr>
          <xdr:cNvPr id="20" name="Retângulo: Cantos Arredondados 19">
            <a:extLst>
              <a:ext uri="{FF2B5EF4-FFF2-40B4-BE49-F238E27FC236}">
                <a16:creationId xmlns:a16="http://schemas.microsoft.com/office/drawing/2014/main" id="{00000000-0008-0000-0A00-000014000000}"/>
              </a:ext>
            </a:extLst>
          </xdr:cNvPr>
          <xdr:cNvSpPr/>
        </xdr:nvSpPr>
        <xdr:spPr>
          <a:xfrm>
            <a:off x="27574875" y="10639425"/>
            <a:ext cx="1762125" cy="239944"/>
          </a:xfrm>
          <a:prstGeom prst="roundRect">
            <a:avLst>
              <a:gd name="adj" fmla="val 50000"/>
            </a:avLst>
          </a:prstGeom>
          <a:solidFill>
            <a:srgbClr val="FD3F0B"/>
          </a:solidFill>
          <a:ln>
            <a:noFill/>
          </a:ln>
          <a:effectLst>
            <a:outerShdw blurRad="304800" sx="105000" sy="105000" algn="ctr" rotWithShape="0">
              <a:srgbClr val="FB510D">
                <a:alpha val="54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44000" tIns="46800" rIns="0" bIns="72000" rtlCol="0" anchor="ctr"/>
          <a:lstStyle/>
          <a:p>
            <a:pPr marL="0" indent="0" algn="ctr"/>
            <a:r>
              <a:rPr lang="pt-BR" sz="1100">
                <a:solidFill>
                  <a:schemeClr val="lt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Volte ao Dashboard</a:t>
            </a:r>
          </a:p>
        </xdr:txBody>
      </xdr:sp>
      <xdr:sp macro="" textlink="">
        <xdr:nvSpPr>
          <xdr:cNvPr id="21" name="Forma Livre: Forma 20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SpPr>
            <a:spLocks noChangeAspect="1"/>
          </xdr:cNvSpPr>
        </xdr:nvSpPr>
        <xdr:spPr>
          <a:xfrm>
            <a:off x="27654429" y="10688506"/>
            <a:ext cx="144310" cy="141780"/>
          </a:xfrm>
          <a:custGeom>
            <a:avLst/>
            <a:gdLst>
              <a:gd name="connsiteX0" fmla="*/ 175440 w 3076156"/>
              <a:gd name="connsiteY0" fmla="*/ 2044504 h 3097121"/>
              <a:gd name="connsiteX1" fmla="*/ 1120088 w 3076156"/>
              <a:gd name="connsiteY1" fmla="*/ 2044504 h 3097121"/>
              <a:gd name="connsiteX2" fmla="*/ 1295528 w 3076156"/>
              <a:gd name="connsiteY2" fmla="*/ 2219944 h 3097121"/>
              <a:gd name="connsiteX3" fmla="*/ 1295528 w 3076156"/>
              <a:gd name="connsiteY3" fmla="*/ 2921681 h 3097121"/>
              <a:gd name="connsiteX4" fmla="*/ 1120088 w 3076156"/>
              <a:gd name="connsiteY4" fmla="*/ 3097121 h 3097121"/>
              <a:gd name="connsiteX5" fmla="*/ 175440 w 3076156"/>
              <a:gd name="connsiteY5" fmla="*/ 3097121 h 3097121"/>
              <a:gd name="connsiteX6" fmla="*/ 0 w 3076156"/>
              <a:gd name="connsiteY6" fmla="*/ 2921681 h 3097121"/>
              <a:gd name="connsiteX7" fmla="*/ 0 w 3076156"/>
              <a:gd name="connsiteY7" fmla="*/ 2219944 h 3097121"/>
              <a:gd name="connsiteX8" fmla="*/ 175440 w 3076156"/>
              <a:gd name="connsiteY8" fmla="*/ 2044504 h 3097121"/>
              <a:gd name="connsiteX9" fmla="*/ 1996554 w 3076156"/>
              <a:gd name="connsiteY9" fmla="*/ 1543499 h 3097121"/>
              <a:gd name="connsiteX10" fmla="*/ 2860230 w 3076156"/>
              <a:gd name="connsiteY10" fmla="*/ 1543499 h 3097121"/>
              <a:gd name="connsiteX11" fmla="*/ 3076156 w 3076156"/>
              <a:gd name="connsiteY11" fmla="*/ 1759425 h 3097121"/>
              <a:gd name="connsiteX12" fmla="*/ 3076156 w 3076156"/>
              <a:gd name="connsiteY12" fmla="*/ 2881195 h 3097121"/>
              <a:gd name="connsiteX13" fmla="*/ 2860230 w 3076156"/>
              <a:gd name="connsiteY13" fmla="*/ 3097121 h 3097121"/>
              <a:gd name="connsiteX14" fmla="*/ 1996554 w 3076156"/>
              <a:gd name="connsiteY14" fmla="*/ 3097121 h 3097121"/>
              <a:gd name="connsiteX15" fmla="*/ 1780628 w 3076156"/>
              <a:gd name="connsiteY15" fmla="*/ 2881195 h 3097121"/>
              <a:gd name="connsiteX16" fmla="*/ 1780628 w 3076156"/>
              <a:gd name="connsiteY16" fmla="*/ 1759425 h 3097121"/>
              <a:gd name="connsiteX17" fmla="*/ 1996554 w 3076156"/>
              <a:gd name="connsiteY17" fmla="*/ 1543499 h 3097121"/>
              <a:gd name="connsiteX18" fmla="*/ 1956068 w 3076156"/>
              <a:gd name="connsiteY18" fmla="*/ 0 h 3097121"/>
              <a:gd name="connsiteX19" fmla="*/ 2900716 w 3076156"/>
              <a:gd name="connsiteY19" fmla="*/ 0 h 3097121"/>
              <a:gd name="connsiteX20" fmla="*/ 3076156 w 3076156"/>
              <a:gd name="connsiteY20" fmla="*/ 175440 h 3097121"/>
              <a:gd name="connsiteX21" fmla="*/ 3076156 w 3076156"/>
              <a:gd name="connsiteY21" fmla="*/ 877177 h 3097121"/>
              <a:gd name="connsiteX22" fmla="*/ 2900716 w 3076156"/>
              <a:gd name="connsiteY22" fmla="*/ 1052617 h 3097121"/>
              <a:gd name="connsiteX23" fmla="*/ 1956068 w 3076156"/>
              <a:gd name="connsiteY23" fmla="*/ 1052617 h 3097121"/>
              <a:gd name="connsiteX24" fmla="*/ 1780628 w 3076156"/>
              <a:gd name="connsiteY24" fmla="*/ 877177 h 3097121"/>
              <a:gd name="connsiteX25" fmla="*/ 1780628 w 3076156"/>
              <a:gd name="connsiteY25" fmla="*/ 175440 h 3097121"/>
              <a:gd name="connsiteX26" fmla="*/ 1956068 w 3076156"/>
              <a:gd name="connsiteY26" fmla="*/ 0 h 3097121"/>
              <a:gd name="connsiteX27" fmla="*/ 215926 w 3076156"/>
              <a:gd name="connsiteY27" fmla="*/ 0 h 3097121"/>
              <a:gd name="connsiteX28" fmla="*/ 1079602 w 3076156"/>
              <a:gd name="connsiteY28" fmla="*/ 0 h 3097121"/>
              <a:gd name="connsiteX29" fmla="*/ 1295528 w 3076156"/>
              <a:gd name="connsiteY29" fmla="*/ 215926 h 3097121"/>
              <a:gd name="connsiteX30" fmla="*/ 1295528 w 3076156"/>
              <a:gd name="connsiteY30" fmla="*/ 1337696 h 3097121"/>
              <a:gd name="connsiteX31" fmla="*/ 1079602 w 3076156"/>
              <a:gd name="connsiteY31" fmla="*/ 1553622 h 3097121"/>
              <a:gd name="connsiteX32" fmla="*/ 215926 w 3076156"/>
              <a:gd name="connsiteY32" fmla="*/ 1553622 h 3097121"/>
              <a:gd name="connsiteX33" fmla="*/ 0 w 3076156"/>
              <a:gd name="connsiteY33" fmla="*/ 1337696 h 3097121"/>
              <a:gd name="connsiteX34" fmla="*/ 0 w 3076156"/>
              <a:gd name="connsiteY34" fmla="*/ 215926 h 3097121"/>
              <a:gd name="connsiteX35" fmla="*/ 215926 w 3076156"/>
              <a:gd name="connsiteY35" fmla="*/ 0 h 309712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</a:cxnLst>
            <a:rect l="l" t="t" r="r" b="b"/>
            <a:pathLst>
              <a:path w="3076156" h="3097121">
                <a:moveTo>
                  <a:pt x="175440" y="2044504"/>
                </a:moveTo>
                <a:lnTo>
                  <a:pt x="1120088" y="2044504"/>
                </a:lnTo>
                <a:cubicBezTo>
                  <a:pt x="1216981" y="2044504"/>
                  <a:pt x="1295528" y="2123051"/>
                  <a:pt x="1295528" y="2219944"/>
                </a:cubicBezTo>
                <a:lnTo>
                  <a:pt x="1295528" y="2921681"/>
                </a:lnTo>
                <a:cubicBezTo>
                  <a:pt x="1295528" y="3018574"/>
                  <a:pt x="1216981" y="3097121"/>
                  <a:pt x="1120088" y="3097121"/>
                </a:cubicBezTo>
                <a:lnTo>
                  <a:pt x="175440" y="3097121"/>
                </a:lnTo>
                <a:cubicBezTo>
                  <a:pt x="78547" y="3097121"/>
                  <a:pt x="0" y="3018574"/>
                  <a:pt x="0" y="2921681"/>
                </a:cubicBezTo>
                <a:lnTo>
                  <a:pt x="0" y="2219944"/>
                </a:lnTo>
                <a:cubicBezTo>
                  <a:pt x="0" y="2123051"/>
                  <a:pt x="78547" y="2044504"/>
                  <a:pt x="175440" y="2044504"/>
                </a:cubicBezTo>
                <a:close/>
                <a:moveTo>
                  <a:pt x="1996554" y="1543499"/>
                </a:moveTo>
                <a:lnTo>
                  <a:pt x="2860230" y="1543499"/>
                </a:lnTo>
                <a:cubicBezTo>
                  <a:pt x="2979483" y="1543499"/>
                  <a:pt x="3076156" y="1640172"/>
                  <a:pt x="3076156" y="1759425"/>
                </a:cubicBezTo>
                <a:lnTo>
                  <a:pt x="3076156" y="2881195"/>
                </a:lnTo>
                <a:cubicBezTo>
                  <a:pt x="3076156" y="3000448"/>
                  <a:pt x="2979483" y="3097121"/>
                  <a:pt x="2860230" y="3097121"/>
                </a:cubicBezTo>
                <a:lnTo>
                  <a:pt x="1996554" y="3097121"/>
                </a:lnTo>
                <a:cubicBezTo>
                  <a:pt x="1877301" y="3097121"/>
                  <a:pt x="1780628" y="3000448"/>
                  <a:pt x="1780628" y="2881195"/>
                </a:cubicBezTo>
                <a:lnTo>
                  <a:pt x="1780628" y="1759425"/>
                </a:lnTo>
                <a:cubicBezTo>
                  <a:pt x="1780628" y="1640172"/>
                  <a:pt x="1877301" y="1543499"/>
                  <a:pt x="1996554" y="1543499"/>
                </a:cubicBezTo>
                <a:close/>
                <a:moveTo>
                  <a:pt x="1956068" y="0"/>
                </a:moveTo>
                <a:lnTo>
                  <a:pt x="2900716" y="0"/>
                </a:lnTo>
                <a:cubicBezTo>
                  <a:pt x="2997609" y="0"/>
                  <a:pt x="3076156" y="78547"/>
                  <a:pt x="3076156" y="175440"/>
                </a:cubicBezTo>
                <a:lnTo>
                  <a:pt x="3076156" y="877177"/>
                </a:lnTo>
                <a:cubicBezTo>
                  <a:pt x="3076156" y="974070"/>
                  <a:pt x="2997609" y="1052617"/>
                  <a:pt x="2900716" y="1052617"/>
                </a:cubicBezTo>
                <a:lnTo>
                  <a:pt x="1956068" y="1052617"/>
                </a:lnTo>
                <a:cubicBezTo>
                  <a:pt x="1859175" y="1052617"/>
                  <a:pt x="1780628" y="974070"/>
                  <a:pt x="1780628" y="877177"/>
                </a:cubicBezTo>
                <a:lnTo>
                  <a:pt x="1780628" y="175440"/>
                </a:lnTo>
                <a:cubicBezTo>
                  <a:pt x="1780628" y="78547"/>
                  <a:pt x="1859175" y="0"/>
                  <a:pt x="1956068" y="0"/>
                </a:cubicBezTo>
                <a:close/>
                <a:moveTo>
                  <a:pt x="215926" y="0"/>
                </a:moveTo>
                <a:lnTo>
                  <a:pt x="1079602" y="0"/>
                </a:lnTo>
                <a:cubicBezTo>
                  <a:pt x="1198855" y="0"/>
                  <a:pt x="1295528" y="96673"/>
                  <a:pt x="1295528" y="215926"/>
                </a:cubicBezTo>
                <a:lnTo>
                  <a:pt x="1295528" y="1337696"/>
                </a:lnTo>
                <a:cubicBezTo>
                  <a:pt x="1295528" y="1456949"/>
                  <a:pt x="1198855" y="1553622"/>
                  <a:pt x="1079602" y="1553622"/>
                </a:cubicBezTo>
                <a:lnTo>
                  <a:pt x="215926" y="1553622"/>
                </a:lnTo>
                <a:cubicBezTo>
                  <a:pt x="96673" y="1553622"/>
                  <a:pt x="0" y="1456949"/>
                  <a:pt x="0" y="1337696"/>
                </a:cubicBezTo>
                <a:lnTo>
                  <a:pt x="0" y="215926"/>
                </a:lnTo>
                <a:cubicBezTo>
                  <a:pt x="0" y="96673"/>
                  <a:pt x="96673" y="0"/>
                  <a:pt x="215926" y="0"/>
                </a:cubicBezTo>
                <a:close/>
              </a:path>
            </a:pathLst>
          </a:custGeom>
          <a:solidFill>
            <a:sysClr val="window" lastClr="FFFFFF"/>
          </a:solidFill>
          <a:ln w="9525"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130959</xdr:colOff>
      <xdr:row>3</xdr:row>
      <xdr:rowOff>352425</xdr:rowOff>
    </xdr:from>
    <xdr:to>
      <xdr:col>7</xdr:col>
      <xdr:colOff>678123</xdr:colOff>
      <xdr:row>7</xdr:row>
      <xdr:rowOff>174648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0634" y="809625"/>
          <a:ext cx="1633014" cy="803298"/>
        </a:xfrm>
        <a:prstGeom prst="rect">
          <a:avLst/>
        </a:prstGeom>
      </xdr:spPr>
    </xdr:pic>
    <xdr:clientData/>
  </xdr:twoCellAnchor>
  <xdr:twoCellAnchor>
    <xdr:from>
      <xdr:col>0</xdr:col>
      <xdr:colOff>1735248</xdr:colOff>
      <xdr:row>9</xdr:row>
      <xdr:rowOff>183778</xdr:rowOff>
    </xdr:from>
    <xdr:to>
      <xdr:col>4</xdr:col>
      <xdr:colOff>9431</xdr:colOff>
      <xdr:row>32</xdr:row>
      <xdr:rowOff>19050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1735248" y="2031628"/>
          <a:ext cx="2141333" cy="4397747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226871</xdr:colOff>
      <xdr:row>34</xdr:row>
      <xdr:rowOff>165532</xdr:rowOff>
    </xdr:from>
    <xdr:to>
      <xdr:col>10</xdr:col>
      <xdr:colOff>37348</xdr:colOff>
      <xdr:row>51</xdr:row>
      <xdr:rowOff>38100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6084746" y="6975907"/>
          <a:ext cx="1744052" cy="3130118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1735240</xdr:colOff>
      <xdr:row>34</xdr:row>
      <xdr:rowOff>165532</xdr:rowOff>
    </xdr:from>
    <xdr:to>
      <xdr:col>4</xdr:col>
      <xdr:colOff>9108</xdr:colOff>
      <xdr:row>51</xdr:row>
      <xdr:rowOff>28575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>
        <a:xfrm>
          <a:off x="1735240" y="6975907"/>
          <a:ext cx="2141018" cy="3120593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226871</xdr:colOff>
      <xdr:row>9</xdr:row>
      <xdr:rowOff>183778</xdr:rowOff>
    </xdr:from>
    <xdr:to>
      <xdr:col>10</xdr:col>
      <xdr:colOff>37348</xdr:colOff>
      <xdr:row>32</xdr:row>
      <xdr:rowOff>38100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6084746" y="2031628"/>
          <a:ext cx="1744052" cy="4416797"/>
        </a:xfrm>
        <a:prstGeom prst="roundRect">
          <a:avLst>
            <a:gd name="adj" fmla="val 3073"/>
          </a:avLst>
        </a:prstGeom>
        <a:noFill/>
        <a:ln w="76200">
          <a:solidFill>
            <a:srgbClr val="1D212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210786</xdr:colOff>
      <xdr:row>9</xdr:row>
      <xdr:rowOff>130751</xdr:rowOff>
    </xdr:from>
    <xdr:to>
      <xdr:col>12</xdr:col>
      <xdr:colOff>277910</xdr:colOff>
      <xdr:row>20</xdr:row>
      <xdr:rowOff>38759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pSpPr/>
      </xdr:nvGrpSpPr>
      <xdr:grpSpPr>
        <a:xfrm>
          <a:off x="8227026" y="1951931"/>
          <a:ext cx="1469204" cy="2003508"/>
          <a:chOff x="8009874" y="5520325"/>
          <a:chExt cx="1434626" cy="2058960"/>
        </a:xfrm>
      </xdr:grpSpPr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00000000-0008-0000-1800-000008000000}"/>
              </a:ext>
            </a:extLst>
          </xdr:cNvPr>
          <xdr:cNvGrpSpPr/>
        </xdr:nvGrpSpPr>
        <xdr:grpSpPr>
          <a:xfrm>
            <a:off x="8009874" y="5520325"/>
            <a:ext cx="1420820" cy="2058960"/>
            <a:chOff x="5629042" y="9362031"/>
            <a:chExt cx="1847571" cy="1695026"/>
          </a:xfrm>
        </xdr:grpSpPr>
        <xdr:sp macro="" textlink="">
          <xdr:nvSpPr>
            <xdr:cNvPr id="14" name="Retângulo: Cantos Arredondados 13">
              <a:extLst>
                <a:ext uri="{FF2B5EF4-FFF2-40B4-BE49-F238E27FC236}">
                  <a16:creationId xmlns:a16="http://schemas.microsoft.com/office/drawing/2014/main" id="{00000000-0008-0000-1800-00000E000000}"/>
                </a:ext>
              </a:extLst>
            </xdr:cNvPr>
            <xdr:cNvSpPr/>
          </xdr:nvSpPr>
          <xdr:spPr>
            <a:xfrm>
              <a:off x="5629042" y="9362031"/>
              <a:ext cx="1847571" cy="1682195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15" name="Retângulo 14">
              <a:extLst>
                <a:ext uri="{FF2B5EF4-FFF2-40B4-BE49-F238E27FC236}">
                  <a16:creationId xmlns:a16="http://schemas.microsoft.com/office/drawing/2014/main" id="{00000000-0008-0000-1800-00000F000000}"/>
                </a:ext>
              </a:extLst>
            </xdr:cNvPr>
            <xdr:cNvSpPr/>
          </xdr:nvSpPr>
          <xdr:spPr>
            <a:xfrm>
              <a:off x="5832359" y="9372790"/>
              <a:ext cx="1440935" cy="2370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 F</a:t>
              </a:r>
            </a:p>
          </xdr:txBody>
        </xdr: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00000000-0008-0000-1800-000010000000}"/>
                </a:ext>
              </a:extLst>
            </xdr:cNvPr>
            <xdr:cNvSpPr/>
          </xdr:nvSpPr>
          <xdr:spPr>
            <a:xfrm>
              <a:off x="6136364" y="10816386"/>
              <a:ext cx="832929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00000000-0008-0000-1800-000009000000}"/>
              </a:ext>
            </a:extLst>
          </xdr:cNvPr>
          <xdr:cNvGrpSpPr/>
        </xdr:nvGrpSpPr>
        <xdr:grpSpPr>
          <a:xfrm>
            <a:off x="8191805" y="5808157"/>
            <a:ext cx="1252695" cy="1578606"/>
            <a:chOff x="11312722" y="9629229"/>
            <a:chExt cx="1240861" cy="1588939"/>
          </a:xfrm>
        </xdr:grpSpPr>
        <xdr:pic>
          <xdr:nvPicPr>
            <xdr:cNvPr id="10" name="Imagem 9">
              <a:extLst>
                <a:ext uri="{FF2B5EF4-FFF2-40B4-BE49-F238E27FC236}">
                  <a16:creationId xmlns:a16="http://schemas.microsoft.com/office/drawing/2014/main" id="{00000000-0008-0000-18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12722" y="9629229"/>
              <a:ext cx="999538" cy="1588939"/>
            </a:xfrm>
            <a:prstGeom prst="rect">
              <a:avLst/>
            </a:prstGeom>
          </xdr:spPr>
        </xdr:pic>
        <xdr:grpSp>
          <xdr:nvGrpSpPr>
            <xdr:cNvPr id="11" name="Agrupar 10">
              <a:extLst>
                <a:ext uri="{FF2B5EF4-FFF2-40B4-BE49-F238E27FC236}">
                  <a16:creationId xmlns:a16="http://schemas.microsoft.com/office/drawing/2014/main" id="{00000000-0008-0000-1800-00000B000000}"/>
                </a:ext>
              </a:extLst>
            </xdr:cNvPr>
            <xdr:cNvGrpSpPr/>
          </xdr:nvGrpSpPr>
          <xdr:grpSpPr>
            <a:xfrm>
              <a:off x="11504861" y="9885404"/>
              <a:ext cx="1048722" cy="242149"/>
              <a:chOff x="10012019" y="9769213"/>
              <a:chExt cx="1471466" cy="341119"/>
            </a:xfrm>
          </xdr:grpSpPr>
          <xdr:sp macro="" textlink="'LGC A'!$I$24">
            <xdr:nvSpPr>
              <xdr:cNvPr id="12" name="Retângulo: Cantos Arredondados 11">
                <a:extLst>
                  <a:ext uri="{FF2B5EF4-FFF2-40B4-BE49-F238E27FC236}">
                    <a16:creationId xmlns:a16="http://schemas.microsoft.com/office/drawing/2014/main" id="{00000000-0008-0000-1800-00000C000000}"/>
                  </a:ext>
                </a:extLst>
              </xdr:cNvPr>
              <xdr:cNvSpPr/>
            </xdr:nvSpPr>
            <xdr:spPr>
              <a:xfrm>
                <a:off x="10012019" y="9769213"/>
                <a:ext cx="500901" cy="30619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fld id="{8E6D94A5-BCC5-447F-8615-0B1717AAF30B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ctr"/>
                  <a:t>0,75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'LGC A'!$I$31">
            <xdr:nvSpPr>
              <xdr:cNvPr id="13" name="Retângulo: Cantos Arredondados 12">
                <a:extLst>
                  <a:ext uri="{FF2B5EF4-FFF2-40B4-BE49-F238E27FC236}">
                    <a16:creationId xmlns:a16="http://schemas.microsoft.com/office/drawing/2014/main" id="{00000000-0008-0000-1800-00000D000000}"/>
                  </a:ext>
                </a:extLst>
              </xdr:cNvPr>
              <xdr:cNvSpPr/>
            </xdr:nvSpPr>
            <xdr:spPr>
              <a:xfrm>
                <a:off x="10981715" y="9809402"/>
                <a:ext cx="501770" cy="30093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fld id="{5C4EA64F-FBD2-4BE9-9706-EC55BC3A2046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l"/>
                  <a:t>15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10</xdr:col>
      <xdr:colOff>229836</xdr:colOff>
      <xdr:row>34</xdr:row>
      <xdr:rowOff>136757</xdr:rowOff>
    </xdr:from>
    <xdr:to>
      <xdr:col>14</xdr:col>
      <xdr:colOff>570594</xdr:colOff>
      <xdr:row>45</xdr:row>
      <xdr:rowOff>187640</xdr:rowOff>
    </xdr:to>
    <xdr:grpSp>
      <xdr:nvGrpSpPr>
        <xdr:cNvPr id="17" name="Agrupar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GrpSpPr/>
      </xdr:nvGrpSpPr>
      <xdr:grpSpPr>
        <a:xfrm>
          <a:off x="8246076" y="6735677"/>
          <a:ext cx="3152538" cy="2146383"/>
          <a:chOff x="8009874" y="1743305"/>
          <a:chExt cx="3085238" cy="2134123"/>
        </a:xfrm>
      </xdr:grpSpPr>
      <xdr:grpSp>
        <xdr:nvGrpSpPr>
          <xdr:cNvPr id="18" name="Agrupar 17">
            <a:extLst>
              <a:ext uri="{FF2B5EF4-FFF2-40B4-BE49-F238E27FC236}">
                <a16:creationId xmlns:a16="http://schemas.microsoft.com/office/drawing/2014/main" id="{00000000-0008-0000-1800-000012000000}"/>
              </a:ext>
            </a:extLst>
          </xdr:cNvPr>
          <xdr:cNvGrpSpPr/>
        </xdr:nvGrpSpPr>
        <xdr:grpSpPr>
          <a:xfrm>
            <a:off x="8009874" y="1743305"/>
            <a:ext cx="3042898" cy="2134123"/>
            <a:chOff x="5629042" y="9362031"/>
            <a:chExt cx="1776894" cy="1695026"/>
          </a:xfrm>
        </xdr:grpSpPr>
        <xdr:sp macro="" textlink="">
          <xdr:nvSpPr>
            <xdr:cNvPr id="32" name="Retângulo: Cantos Arredondados 31">
              <a:extLst>
                <a:ext uri="{FF2B5EF4-FFF2-40B4-BE49-F238E27FC236}">
                  <a16:creationId xmlns:a16="http://schemas.microsoft.com/office/drawing/2014/main" id="{00000000-0008-0000-1800-000020000000}"/>
                </a:ext>
              </a:extLst>
            </xdr:cNvPr>
            <xdr:cNvSpPr/>
          </xdr:nvSpPr>
          <xdr:spPr>
            <a:xfrm>
              <a:off x="5629042" y="9362031"/>
              <a:ext cx="1776894" cy="1682195"/>
            </a:xfrm>
            <a:prstGeom prst="roundRect">
              <a:avLst>
                <a:gd name="adj" fmla="val 8076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33" name="Retângulo 32">
              <a:extLst>
                <a:ext uri="{FF2B5EF4-FFF2-40B4-BE49-F238E27FC236}">
                  <a16:creationId xmlns:a16="http://schemas.microsoft.com/office/drawing/2014/main" id="{00000000-0008-0000-1800-000021000000}"/>
                </a:ext>
              </a:extLst>
            </xdr:cNvPr>
            <xdr:cNvSpPr/>
          </xdr:nvSpPr>
          <xdr:spPr>
            <a:xfrm>
              <a:off x="5832359" y="9372790"/>
              <a:ext cx="1440936" cy="22874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 B</a:t>
              </a:r>
            </a:p>
          </xdr:txBody>
        </xdr:sp>
        <xdr:sp macro="" textlink="">
          <xdr:nvSpPr>
            <xdr:cNvPr id="34" name="Retângulo 33">
              <a:extLst>
                <a:ext uri="{FF2B5EF4-FFF2-40B4-BE49-F238E27FC236}">
                  <a16:creationId xmlns:a16="http://schemas.microsoft.com/office/drawing/2014/main" id="{00000000-0008-0000-1800-000022000000}"/>
                </a:ext>
              </a:extLst>
            </xdr:cNvPr>
            <xdr:cNvSpPr/>
          </xdr:nvSpPr>
          <xdr:spPr>
            <a:xfrm>
              <a:off x="6312966" y="10816386"/>
              <a:ext cx="479723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19" name="Agrupar 18">
            <a:extLst>
              <a:ext uri="{FF2B5EF4-FFF2-40B4-BE49-F238E27FC236}">
                <a16:creationId xmlns:a16="http://schemas.microsoft.com/office/drawing/2014/main" id="{00000000-0008-0000-1800-000013000000}"/>
              </a:ext>
            </a:extLst>
          </xdr:cNvPr>
          <xdr:cNvGrpSpPr/>
        </xdr:nvGrpSpPr>
        <xdr:grpSpPr>
          <a:xfrm>
            <a:off x="8211542" y="2098505"/>
            <a:ext cx="2883570" cy="1522514"/>
            <a:chOff x="8320552" y="9690341"/>
            <a:chExt cx="2844676" cy="1478119"/>
          </a:xfrm>
        </xdr:grpSpPr>
        <xdr:pic>
          <xdr:nvPicPr>
            <xdr:cNvPr id="20" name="Imagem 19">
              <a:extLst>
                <a:ext uri="{FF2B5EF4-FFF2-40B4-BE49-F238E27FC236}">
                  <a16:creationId xmlns:a16="http://schemas.microsoft.com/office/drawing/2014/main" id="{00000000-0008-0000-1800-00001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968292" y="9690341"/>
              <a:ext cx="1912096" cy="1478119"/>
            </a:xfrm>
            <a:prstGeom prst="rect">
              <a:avLst/>
            </a:prstGeom>
          </xdr:spPr>
        </xdr:pic>
        <xdr:grpSp>
          <xdr:nvGrpSpPr>
            <xdr:cNvPr id="21" name="Agrupar 20">
              <a:extLst>
                <a:ext uri="{FF2B5EF4-FFF2-40B4-BE49-F238E27FC236}">
                  <a16:creationId xmlns:a16="http://schemas.microsoft.com/office/drawing/2014/main" id="{00000000-0008-0000-1800-000015000000}"/>
                </a:ext>
              </a:extLst>
            </xdr:cNvPr>
            <xdr:cNvGrpSpPr/>
          </xdr:nvGrpSpPr>
          <xdr:grpSpPr>
            <a:xfrm>
              <a:off x="10113766" y="9794042"/>
              <a:ext cx="1051462" cy="937749"/>
              <a:chOff x="10812953" y="11382471"/>
              <a:chExt cx="1367301" cy="1238724"/>
            </a:xfrm>
          </xdr:grpSpPr>
          <xdr:sp macro="" textlink="'LGC A'!$I$49">
            <xdr:nvSpPr>
              <xdr:cNvPr id="30" name="Retângulo: Cantos Arredondados 29">
                <a:extLst>
                  <a:ext uri="{FF2B5EF4-FFF2-40B4-BE49-F238E27FC236}">
                    <a16:creationId xmlns:a16="http://schemas.microsoft.com/office/drawing/2014/main" id="{00000000-0008-0000-1800-00001E000000}"/>
                  </a:ext>
                </a:extLst>
              </xdr:cNvPr>
              <xdr:cNvSpPr/>
            </xdr:nvSpPr>
            <xdr:spPr>
              <a:xfrm>
                <a:off x="10812953" y="11382471"/>
                <a:ext cx="500899" cy="28688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fld id="{5A5E4E57-8A35-4D07-9E22-979E73A62B10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ctr"/>
                  <a:t>0,75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">
            <xdr:nvSpPr>
              <xdr:cNvPr id="31" name="Retângulo: Cantos Arredondados 30">
                <a:extLst>
                  <a:ext uri="{FF2B5EF4-FFF2-40B4-BE49-F238E27FC236}">
                    <a16:creationId xmlns:a16="http://schemas.microsoft.com/office/drawing/2014/main" id="{00000000-0008-0000-1800-00001F000000}"/>
                  </a:ext>
                </a:extLst>
              </xdr:cNvPr>
              <xdr:cNvSpPr/>
            </xdr:nvSpPr>
            <xdr:spPr>
              <a:xfrm>
                <a:off x="11665551" y="12344044"/>
                <a:ext cx="514703" cy="277151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l"/>
                <a:r>
                  <a:rPr lang="pt-BR" sz="100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rPr>
                  <a:t>8</a:t>
                </a:r>
              </a:p>
            </xdr:txBody>
          </xdr:sp>
        </xdr:grpSp>
        <xdr:grpSp>
          <xdr:nvGrpSpPr>
            <xdr:cNvPr id="22" name="Agrupar 21">
              <a:extLst>
                <a:ext uri="{FF2B5EF4-FFF2-40B4-BE49-F238E27FC236}">
                  <a16:creationId xmlns:a16="http://schemas.microsoft.com/office/drawing/2014/main" id="{00000000-0008-0000-1800-000016000000}"/>
                </a:ext>
              </a:extLst>
            </xdr:cNvPr>
            <xdr:cNvGrpSpPr/>
          </xdr:nvGrpSpPr>
          <xdr:grpSpPr>
            <a:xfrm>
              <a:off x="8320552" y="10147611"/>
              <a:ext cx="1144987" cy="759642"/>
              <a:chOff x="1870870" y="2170027"/>
              <a:chExt cx="4338247" cy="2864886"/>
            </a:xfrm>
          </xdr:grpSpPr>
          <xdr:grpSp>
            <xdr:nvGrpSpPr>
              <xdr:cNvPr id="23" name="Agrupar 22">
                <a:extLst>
                  <a:ext uri="{FF2B5EF4-FFF2-40B4-BE49-F238E27FC236}">
                    <a16:creationId xmlns:a16="http://schemas.microsoft.com/office/drawing/2014/main" id="{00000000-0008-0000-1800-000017000000}"/>
                  </a:ext>
                </a:extLst>
              </xdr:cNvPr>
              <xdr:cNvGrpSpPr/>
            </xdr:nvGrpSpPr>
            <xdr:grpSpPr>
              <a:xfrm>
                <a:off x="4221020" y="2863871"/>
                <a:ext cx="1988097" cy="738602"/>
                <a:chOff x="4221020" y="2863871"/>
                <a:chExt cx="1988097" cy="738602"/>
              </a:xfrm>
            </xdr:grpSpPr>
            <xdr:cxnSp macro="">
              <xdr:nvCxnSpPr>
                <xdr:cNvPr id="28" name="Conector reto 27">
                  <a:extLst>
                    <a:ext uri="{FF2B5EF4-FFF2-40B4-BE49-F238E27FC236}">
                      <a16:creationId xmlns:a16="http://schemas.microsoft.com/office/drawing/2014/main" id="{00000000-0008-0000-1800-00001C000000}"/>
                    </a:ext>
                  </a:extLst>
                </xdr:cNvPr>
                <xdr:cNvCxnSpPr>
                  <a:cxnSpLocks/>
                  <a:stCxn id="29" idx="2"/>
                  <a:endCxn id="25" idx="3"/>
                </xdr:cNvCxnSpPr>
              </xdr:nvCxnSpPr>
              <xdr:spPr>
                <a:xfrm flipH="1">
                  <a:off x="4221020" y="3042209"/>
                  <a:ext cx="1631425" cy="560264"/>
                </a:xfrm>
                <a:prstGeom prst="line">
                  <a:avLst/>
                </a:prstGeom>
                <a:ln w="28575" cap="rnd">
                  <a:solidFill>
                    <a:srgbClr val="FD3F0B"/>
                  </a:solidFill>
                  <a:round/>
                </a:ln>
                <a:effectLst/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9" name="Elipse 28">
                  <a:extLst>
                    <a:ext uri="{FF2B5EF4-FFF2-40B4-BE49-F238E27FC236}">
                      <a16:creationId xmlns:a16="http://schemas.microsoft.com/office/drawing/2014/main" id="{00000000-0008-0000-1800-00001D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852445" y="2863871"/>
                  <a:ext cx="356672" cy="356668"/>
                </a:xfrm>
                <a:prstGeom prst="ellipse">
                  <a:avLst/>
                </a:prstGeom>
                <a:solidFill>
                  <a:srgbClr val="FD3F0B"/>
                </a:solidFill>
                <a:ln w="3810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 sz="500"/>
                </a:p>
              </xdr:txBody>
            </xdr:sp>
          </xdr:grpSp>
          <xdr:grpSp>
            <xdr:nvGrpSpPr>
              <xdr:cNvPr id="24" name="Agrupar 23">
                <a:extLst>
                  <a:ext uri="{FF2B5EF4-FFF2-40B4-BE49-F238E27FC236}">
                    <a16:creationId xmlns:a16="http://schemas.microsoft.com/office/drawing/2014/main" id="{00000000-0008-0000-1800-000018000000}"/>
                  </a:ext>
                </a:extLst>
              </xdr:cNvPr>
              <xdr:cNvGrpSpPr/>
            </xdr:nvGrpSpPr>
            <xdr:grpSpPr>
              <a:xfrm>
                <a:off x="1870870" y="2170027"/>
                <a:ext cx="2350148" cy="2864886"/>
                <a:chOff x="801286" y="2161843"/>
                <a:chExt cx="2359085" cy="2864886"/>
              </a:xfrm>
              <a:solidFill>
                <a:srgbClr val="16191C"/>
              </a:solidFill>
            </xdr:grpSpPr>
            <xdr:sp macro="" textlink="">
              <xdr:nvSpPr>
                <xdr:cNvPr id="25" name="Retângulo: Cantos Arredondados 24">
                  <a:extLst>
                    <a:ext uri="{FF2B5EF4-FFF2-40B4-BE49-F238E27FC236}">
                      <a16:creationId xmlns:a16="http://schemas.microsoft.com/office/drawing/2014/main" id="{00000000-0008-0000-1800-000019000000}"/>
                    </a:ext>
                  </a:extLst>
                </xdr:cNvPr>
                <xdr:cNvSpPr/>
              </xdr:nvSpPr>
              <xdr:spPr>
                <a:xfrm>
                  <a:off x="801286" y="2161843"/>
                  <a:ext cx="2359085" cy="2864886"/>
                </a:xfrm>
                <a:prstGeom prst="roundRect">
                  <a:avLst>
                    <a:gd name="adj" fmla="val 11708"/>
                  </a:avLst>
                </a:prstGeom>
                <a:gradFill flip="none" rotWithShape="1">
                  <a:gsLst>
                    <a:gs pos="100000">
                      <a:srgbClr val="FD3F0B"/>
                    </a:gs>
                    <a:gs pos="0">
                      <a:srgbClr val="FF2929"/>
                    </a:gs>
                  </a:gsLst>
                  <a:lin ang="18900000" scaled="1"/>
                  <a:tileRect/>
                </a:gradFill>
                <a:ln w="1905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0" rIns="0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  <a:p>
                  <a:pPr algn="ctr"/>
                  <a:r>
                    <a:rPr lang="pt-BR" sz="600" b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CH 50 x 6 </a:t>
                  </a:r>
                </a:p>
                <a:p>
                  <a:pPr algn="ctr"/>
                  <a:r>
                    <a:rPr lang="pt-BR" sz="600" b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(2" x 1/4") </a:t>
                  </a:r>
                </a:p>
                <a:p>
                  <a:pPr algn="ctr"/>
                  <a:endParaRPr lang="pt-BR" sz="600" b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  <a:p>
                  <a:pPr algn="ctr"/>
                  <a:endParaRPr lang="pt-BR" sz="600" b="0" baseline="0">
                    <a:solidFill>
                      <a:schemeClr val="bg1"/>
                    </a:solidFill>
                    <a:latin typeface="Segoe UI Semibold" panose="020B0702040204020203" pitchFamily="34" charset="0"/>
                    <a:cs typeface="Segoe UI Semibold" panose="020B0702040204020203" pitchFamily="34" charset="0"/>
                  </a:endParaRPr>
                </a:p>
                <a:p>
                  <a:pPr algn="ctr"/>
                  <a:r>
                    <a:rPr lang="el-GR" sz="600" b="0" baseline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Φ</a:t>
                  </a:r>
                  <a:r>
                    <a:rPr lang="pt-BR" sz="600" b="0">
                      <a:solidFill>
                        <a:schemeClr val="bg1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 1/2" M12'</a:t>
                  </a:r>
                </a:p>
              </xdr:txBody>
            </xdr:sp>
            <xdr:sp macro="" textlink="">
              <xdr:nvSpPr>
                <xdr:cNvPr id="26" name="Retângulo: Cantos Arredondados 25">
                  <a:extLst>
                    <a:ext uri="{FF2B5EF4-FFF2-40B4-BE49-F238E27FC236}">
                      <a16:creationId xmlns:a16="http://schemas.microsoft.com/office/drawing/2014/main" id="{00000000-0008-0000-1800-00001A000000}"/>
                    </a:ext>
                  </a:extLst>
                </xdr:cNvPr>
                <xdr:cNvSpPr/>
              </xdr:nvSpPr>
              <xdr:spPr>
                <a:xfrm>
                  <a:off x="1253433" y="2282285"/>
                  <a:ext cx="1454798" cy="562276"/>
                </a:xfrm>
                <a:prstGeom prst="roundRect">
                  <a:avLst>
                    <a:gd name="adj" fmla="val 25437"/>
                  </a:avLst>
                </a:prstGeom>
                <a:solidFill>
                  <a:schemeClr val="bg1"/>
                </a:solidFill>
                <a:ln w="3810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0" rIns="0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t-BR" sz="700" b="0">
                      <a:solidFill>
                        <a:srgbClr val="FD3F0B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Estribo</a:t>
                  </a:r>
                </a:p>
              </xdr:txBody>
            </xdr:sp>
            <xdr:sp macro="" textlink="">
              <xdr:nvSpPr>
                <xdr:cNvPr id="27" name="Retângulo: Cantos Arredondados 26">
                  <a:extLst>
                    <a:ext uri="{FF2B5EF4-FFF2-40B4-BE49-F238E27FC236}">
                      <a16:creationId xmlns:a16="http://schemas.microsoft.com/office/drawing/2014/main" id="{00000000-0008-0000-1800-00001B000000}"/>
                    </a:ext>
                  </a:extLst>
                </xdr:cNvPr>
                <xdr:cNvSpPr/>
              </xdr:nvSpPr>
              <xdr:spPr>
                <a:xfrm>
                  <a:off x="916262" y="3733587"/>
                  <a:ext cx="2129126" cy="562276"/>
                </a:xfrm>
                <a:prstGeom prst="roundRect">
                  <a:avLst>
                    <a:gd name="adj" fmla="val 30350"/>
                  </a:avLst>
                </a:prstGeom>
                <a:solidFill>
                  <a:schemeClr val="bg1"/>
                </a:solidFill>
                <a:ln w="38100">
                  <a:noFill/>
                </a:ln>
                <a:effectLst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lIns="0" rIns="0" rtlCol="0" anchor="ctr"/>
                <a:lstStyle>
                  <a:defPPr>
                    <a:defRPr lang="pt-BR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t-BR" sz="700" b="0">
                      <a:solidFill>
                        <a:srgbClr val="FD3F0B"/>
                      </a:solidFill>
                      <a:latin typeface="Segoe UI Semibold" panose="020B0702040204020203" pitchFamily="34" charset="0"/>
                      <a:cs typeface="Segoe UI Semibold" panose="020B0702040204020203" pitchFamily="34" charset="0"/>
                    </a:rPr>
                    <a:t>4 Parafusos</a:t>
                  </a:r>
                </a:p>
              </xdr:txBody>
            </xdr:sp>
          </xdr:grpSp>
        </xdr:grpSp>
      </xdr:grpSp>
    </xdr:grpSp>
    <xdr:clientData/>
  </xdr:twoCellAnchor>
  <xdr:twoCellAnchor>
    <xdr:from>
      <xdr:col>4</xdr:col>
      <xdr:colOff>209924</xdr:colOff>
      <xdr:row>34</xdr:row>
      <xdr:rowOff>136757</xdr:rowOff>
    </xdr:from>
    <xdr:to>
      <xdr:col>5</xdr:col>
      <xdr:colOff>699400</xdr:colOff>
      <xdr:row>45</xdr:row>
      <xdr:rowOff>120976</xdr:rowOff>
    </xdr:to>
    <xdr:grpSp>
      <xdr:nvGrpSpPr>
        <xdr:cNvPr id="35" name="Agrupar 34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GrpSpPr/>
      </xdr:nvGrpSpPr>
      <xdr:grpSpPr>
        <a:xfrm>
          <a:off x="4187564" y="6735677"/>
          <a:ext cx="1678196" cy="2079719"/>
          <a:chOff x="4066890" y="6653366"/>
          <a:chExt cx="1639923" cy="2058971"/>
        </a:xfrm>
      </xdr:grpSpPr>
      <xdr:grpSp>
        <xdr:nvGrpSpPr>
          <xdr:cNvPr id="36" name="Agrupar 35">
            <a:extLst>
              <a:ext uri="{FF2B5EF4-FFF2-40B4-BE49-F238E27FC236}">
                <a16:creationId xmlns:a16="http://schemas.microsoft.com/office/drawing/2014/main" id="{00000000-0008-0000-1800-000024000000}"/>
              </a:ext>
            </a:extLst>
          </xdr:cNvPr>
          <xdr:cNvGrpSpPr/>
        </xdr:nvGrpSpPr>
        <xdr:grpSpPr>
          <a:xfrm>
            <a:off x="4066890" y="6653366"/>
            <a:ext cx="1563233" cy="2058971"/>
            <a:chOff x="5629045" y="9362023"/>
            <a:chExt cx="1847572" cy="1695034"/>
          </a:xfrm>
        </xdr:grpSpPr>
        <xdr:sp macro="" textlink="">
          <xdr:nvSpPr>
            <xdr:cNvPr id="40" name="Retângulo: Cantos Arredondados 39">
              <a:extLst>
                <a:ext uri="{FF2B5EF4-FFF2-40B4-BE49-F238E27FC236}">
                  <a16:creationId xmlns:a16="http://schemas.microsoft.com/office/drawing/2014/main" id="{00000000-0008-0000-1800-000028000000}"/>
                </a:ext>
              </a:extLst>
            </xdr:cNvPr>
            <xdr:cNvSpPr/>
          </xdr:nvSpPr>
          <xdr:spPr>
            <a:xfrm>
              <a:off x="5629045" y="9362023"/>
              <a:ext cx="1847572" cy="1682194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41" name="Retângulo 40">
              <a:extLst>
                <a:ext uri="{FF2B5EF4-FFF2-40B4-BE49-F238E27FC236}">
                  <a16:creationId xmlns:a16="http://schemas.microsoft.com/office/drawing/2014/main" id="{00000000-0008-0000-1800-000029000000}"/>
                </a:ext>
              </a:extLst>
            </xdr:cNvPr>
            <xdr:cNvSpPr/>
          </xdr:nvSpPr>
          <xdr:spPr>
            <a:xfrm>
              <a:off x="5832362" y="9372785"/>
              <a:ext cx="1440937" cy="2370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Nós D e E</a:t>
              </a:r>
            </a:p>
          </xdr:txBody>
        </xdr:sp>
        <xdr:sp macro="" textlink="">
          <xdr:nvSpPr>
            <xdr:cNvPr id="42" name="Retângulo 41">
              <a:extLst>
                <a:ext uri="{FF2B5EF4-FFF2-40B4-BE49-F238E27FC236}">
                  <a16:creationId xmlns:a16="http://schemas.microsoft.com/office/drawing/2014/main" id="{00000000-0008-0000-1800-00002A000000}"/>
                </a:ext>
              </a:extLst>
            </xdr:cNvPr>
            <xdr:cNvSpPr/>
          </xdr:nvSpPr>
          <xdr:spPr>
            <a:xfrm>
              <a:off x="6009326" y="10816386"/>
              <a:ext cx="1087004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37" name="Agrupar 36">
            <a:extLst>
              <a:ext uri="{FF2B5EF4-FFF2-40B4-BE49-F238E27FC236}">
                <a16:creationId xmlns:a16="http://schemas.microsoft.com/office/drawing/2014/main" id="{00000000-0008-0000-1800-000025000000}"/>
              </a:ext>
            </a:extLst>
          </xdr:cNvPr>
          <xdr:cNvGrpSpPr/>
        </xdr:nvGrpSpPr>
        <xdr:grpSpPr>
          <a:xfrm>
            <a:off x="4219468" y="7192611"/>
            <a:ext cx="1487345" cy="1075787"/>
            <a:chOff x="6883067" y="9825781"/>
            <a:chExt cx="1475804" cy="1079999"/>
          </a:xfrm>
        </xdr:grpSpPr>
        <xdr:pic>
          <xdr:nvPicPr>
            <xdr:cNvPr id="38" name="Imagem 37">
              <a:extLst>
                <a:ext uri="{FF2B5EF4-FFF2-40B4-BE49-F238E27FC236}">
                  <a16:creationId xmlns:a16="http://schemas.microsoft.com/office/drawing/2014/main" id="{00000000-0008-0000-1800-00002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883067" y="9825781"/>
              <a:ext cx="1206439" cy="1079999"/>
            </a:xfrm>
            <a:prstGeom prst="rect">
              <a:avLst/>
            </a:prstGeom>
          </xdr:spPr>
        </xdr:pic>
        <xdr:sp macro="" textlink="'LGC A'!C49">
          <xdr:nvSpPr>
            <xdr:cNvPr id="39" name="Retângulo: Cantos Arredondados 38">
              <a:extLst>
                <a:ext uri="{FF2B5EF4-FFF2-40B4-BE49-F238E27FC236}">
                  <a16:creationId xmlns:a16="http://schemas.microsoft.com/office/drawing/2014/main" id="{00000000-0008-0000-1800-000027000000}"/>
                </a:ext>
              </a:extLst>
            </xdr:cNvPr>
            <xdr:cNvSpPr/>
          </xdr:nvSpPr>
          <xdr:spPr>
            <a:xfrm>
              <a:off x="7988780" y="9951589"/>
              <a:ext cx="370091" cy="216809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t"/>
            <a:lstStyle/>
            <a:p>
              <a:pPr algn="l"/>
              <a:fld id="{5C79D308-C41F-4375-8867-707F4FD2B5BA}" type="TxLink">
                <a:rPr lang="en-US" sz="1000" b="0" i="0" u="none" strike="noStrike">
                  <a:solidFill>
                    <a:srgbClr val="FFFFFF"/>
                  </a:solidFill>
                  <a:latin typeface="Segoe UI Semibold"/>
                  <a:cs typeface="Segoe UI Semibold"/>
                </a:rPr>
                <a:pPr algn="l"/>
                <a:t>1,50</a:t>
              </a:fld>
              <a:endParaRPr lang="pt-BR" sz="1000">
                <a:solidFill>
                  <a:schemeClr val="bg1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endParaRPr>
            </a:p>
          </xdr:txBody>
        </xdr:sp>
      </xdr:grpSp>
    </xdr:grpSp>
    <xdr:clientData/>
  </xdr:twoCellAnchor>
  <xdr:twoCellAnchor>
    <xdr:from>
      <xdr:col>4</xdr:col>
      <xdr:colOff>15014</xdr:colOff>
      <xdr:row>9</xdr:row>
      <xdr:rowOff>130751</xdr:rowOff>
    </xdr:from>
    <xdr:to>
      <xdr:col>5</xdr:col>
      <xdr:colOff>641290</xdr:colOff>
      <xdr:row>20</xdr:row>
      <xdr:rowOff>86385</xdr:rowOff>
    </xdr:to>
    <xdr:grpSp>
      <xdr:nvGrpSpPr>
        <xdr:cNvPr id="43" name="Agrupar 42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GrpSpPr/>
      </xdr:nvGrpSpPr>
      <xdr:grpSpPr>
        <a:xfrm>
          <a:off x="3992654" y="1951931"/>
          <a:ext cx="1814996" cy="2051134"/>
          <a:chOff x="3891245" y="1743305"/>
          <a:chExt cx="1776602" cy="2134124"/>
        </a:xfrm>
      </xdr:grpSpPr>
      <xdr:grpSp>
        <xdr:nvGrpSpPr>
          <xdr:cNvPr id="44" name="Agrupar 43">
            <a:extLst>
              <a:ext uri="{FF2B5EF4-FFF2-40B4-BE49-F238E27FC236}">
                <a16:creationId xmlns:a16="http://schemas.microsoft.com/office/drawing/2014/main" id="{00000000-0008-0000-1800-00002C000000}"/>
              </a:ext>
            </a:extLst>
          </xdr:cNvPr>
          <xdr:cNvGrpSpPr/>
        </xdr:nvGrpSpPr>
        <xdr:grpSpPr>
          <a:xfrm>
            <a:off x="4086405" y="1743305"/>
            <a:ext cx="1581442" cy="2134124"/>
            <a:chOff x="5629042" y="9362031"/>
            <a:chExt cx="1847571" cy="1695026"/>
          </a:xfrm>
        </xdr:grpSpPr>
        <xdr:sp macro="" textlink="">
          <xdr:nvSpPr>
            <xdr:cNvPr id="50" name="Retângulo: Cantos Arredondados 49">
              <a:extLst>
                <a:ext uri="{FF2B5EF4-FFF2-40B4-BE49-F238E27FC236}">
                  <a16:creationId xmlns:a16="http://schemas.microsoft.com/office/drawing/2014/main" id="{00000000-0008-0000-1800-000032000000}"/>
                </a:ext>
              </a:extLst>
            </xdr:cNvPr>
            <xdr:cNvSpPr/>
          </xdr:nvSpPr>
          <xdr:spPr>
            <a:xfrm>
              <a:off x="5629042" y="9362031"/>
              <a:ext cx="1847571" cy="1682195"/>
            </a:xfrm>
            <a:prstGeom prst="roundRect">
              <a:avLst>
                <a:gd name="adj" fmla="val 10845"/>
              </a:avLst>
            </a:prstGeom>
            <a:solidFill>
              <a:srgbClr val="1D2125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defTabSz="914400" rtl="0" eaLnBrk="1" latinLnBrk="0" hangingPunct="1"/>
              <a:endParaRPr lang="pt-BR" sz="1100" kern="1200">
                <a:solidFill>
                  <a:schemeClr val="bg1"/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endParaRPr>
            </a:p>
          </xdr:txBody>
        </xdr:sp>
        <xdr:sp macro="" textlink="">
          <xdr:nvSpPr>
            <xdr:cNvPr id="51" name="Retângulo 50">
              <a:extLst>
                <a:ext uri="{FF2B5EF4-FFF2-40B4-BE49-F238E27FC236}">
                  <a16:creationId xmlns:a16="http://schemas.microsoft.com/office/drawing/2014/main" id="{00000000-0008-0000-1800-000033000000}"/>
                </a:ext>
              </a:extLst>
            </xdr:cNvPr>
            <xdr:cNvSpPr/>
          </xdr:nvSpPr>
          <xdr:spPr>
            <a:xfrm>
              <a:off x="5832359" y="9372790"/>
              <a:ext cx="1440936" cy="22874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000" b="1">
                  <a:solidFill>
                    <a:schemeClr val="bg2">
                      <a:lumMod val="90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Nós A e C</a:t>
              </a:r>
            </a:p>
          </xdr:txBody>
        </xdr:sp>
        <xdr:sp macro="" textlink="">
          <xdr:nvSpPr>
            <xdr:cNvPr id="52" name="Retângulo 51">
              <a:extLst>
                <a:ext uri="{FF2B5EF4-FFF2-40B4-BE49-F238E27FC236}">
                  <a16:creationId xmlns:a16="http://schemas.microsoft.com/office/drawing/2014/main" id="{00000000-0008-0000-1800-000034000000}"/>
                </a:ext>
              </a:extLst>
            </xdr:cNvPr>
            <xdr:cNvSpPr/>
          </xdr:nvSpPr>
          <xdr:spPr>
            <a:xfrm>
              <a:off x="5984304" y="10816386"/>
              <a:ext cx="1137048" cy="2406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800" b="1">
                  <a:solidFill>
                    <a:schemeClr val="bg1">
                      <a:lumMod val="75000"/>
                    </a:schemeClr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rPr>
                <a:t>[cm]</a:t>
              </a:r>
            </a:p>
          </xdr:txBody>
        </xdr:sp>
      </xdr:grpSp>
      <xdr:grpSp>
        <xdr:nvGrpSpPr>
          <xdr:cNvPr id="45" name="Agrupar 44">
            <a:extLst>
              <a:ext uri="{FF2B5EF4-FFF2-40B4-BE49-F238E27FC236}">
                <a16:creationId xmlns:a16="http://schemas.microsoft.com/office/drawing/2014/main" id="{00000000-0008-0000-1800-00002D000000}"/>
              </a:ext>
            </a:extLst>
          </xdr:cNvPr>
          <xdr:cNvGrpSpPr/>
        </xdr:nvGrpSpPr>
        <xdr:grpSpPr>
          <a:xfrm>
            <a:off x="3891245" y="2345959"/>
            <a:ext cx="1607287" cy="1027605"/>
            <a:chOff x="5142209" y="9850856"/>
            <a:chExt cx="1596226" cy="994776"/>
          </a:xfrm>
        </xdr:grpSpPr>
        <xdr:pic>
          <xdr:nvPicPr>
            <xdr:cNvPr id="46" name="Imagem 45">
              <a:extLst>
                <a:ext uri="{FF2B5EF4-FFF2-40B4-BE49-F238E27FC236}">
                  <a16:creationId xmlns:a16="http://schemas.microsoft.com/office/drawing/2014/main" id="{00000000-0008-0000-1800-00002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5484397" y="9850856"/>
              <a:ext cx="1254038" cy="994776"/>
            </a:xfrm>
            <a:prstGeom prst="rect">
              <a:avLst/>
            </a:prstGeom>
          </xdr:spPr>
        </xdr:pic>
        <xdr:grpSp>
          <xdr:nvGrpSpPr>
            <xdr:cNvPr id="47" name="Agrupar 46">
              <a:extLst>
                <a:ext uri="{FF2B5EF4-FFF2-40B4-BE49-F238E27FC236}">
                  <a16:creationId xmlns:a16="http://schemas.microsoft.com/office/drawing/2014/main" id="{00000000-0008-0000-1800-00002F000000}"/>
                </a:ext>
              </a:extLst>
            </xdr:cNvPr>
            <xdr:cNvGrpSpPr/>
          </xdr:nvGrpSpPr>
          <xdr:grpSpPr>
            <a:xfrm>
              <a:off x="5142209" y="10038940"/>
              <a:ext cx="834034" cy="507896"/>
              <a:chOff x="4391308" y="9748132"/>
              <a:chExt cx="1131607" cy="690400"/>
            </a:xfrm>
          </xdr:grpSpPr>
          <xdr:sp macro="" textlink="'LGC A'!$C$31">
            <xdr:nvSpPr>
              <xdr:cNvPr id="48" name="Retângulo: Cantos Arredondados 47">
                <a:extLst>
                  <a:ext uri="{FF2B5EF4-FFF2-40B4-BE49-F238E27FC236}">
                    <a16:creationId xmlns:a16="http://schemas.microsoft.com/office/drawing/2014/main" id="{00000000-0008-0000-1800-000030000000}"/>
                  </a:ext>
                </a:extLst>
              </xdr:cNvPr>
              <xdr:cNvSpPr/>
            </xdr:nvSpPr>
            <xdr:spPr>
              <a:xfrm>
                <a:off x="5022017" y="9748132"/>
                <a:ext cx="500898" cy="294558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ctr"/>
                <a:fld id="{C005CF76-02F9-4A54-8C7F-B8B73BDAD916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ctr"/>
                  <a:t>15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  <xdr:sp macro="" textlink="'LGC A'!$C$24">
            <xdr:nvSpPr>
              <xdr:cNvPr id="49" name="Retângulo: Cantos Arredondados 48">
                <a:extLst>
                  <a:ext uri="{FF2B5EF4-FFF2-40B4-BE49-F238E27FC236}">
                    <a16:creationId xmlns:a16="http://schemas.microsoft.com/office/drawing/2014/main" id="{00000000-0008-0000-1800-000031000000}"/>
                  </a:ext>
                </a:extLst>
              </xdr:cNvPr>
              <xdr:cNvSpPr/>
            </xdr:nvSpPr>
            <xdr:spPr>
              <a:xfrm>
                <a:off x="4391308" y="10153504"/>
                <a:ext cx="511453" cy="285028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t"/>
              <a:lstStyle/>
              <a:p>
                <a:pPr algn="r"/>
                <a:fld id="{7E0BCC99-03C0-4039-B9C2-15C7CB673A62}" type="TxLink">
                  <a:rPr lang="en-US" sz="1000" b="0" i="0" u="none" strike="noStrike">
                    <a:solidFill>
                      <a:srgbClr val="FFFFFF"/>
                    </a:solidFill>
                    <a:latin typeface="Segoe UI Semibold"/>
                    <a:cs typeface="Segoe UI Semibold"/>
                  </a:rPr>
                  <a:pPr algn="r"/>
                  <a:t>1,50</a:t>
                </a:fld>
                <a:endParaRPr lang="pt-BR" sz="1000">
                  <a:solidFill>
                    <a:schemeClr val="bg1"/>
                  </a:solidFill>
                  <a:latin typeface="Segoe UI Semibold" panose="020B0702040204020203" pitchFamily="34" charset="0"/>
                  <a:cs typeface="Segoe UI Semibold" panose="020B0702040204020203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0</xdr:col>
      <xdr:colOff>1754108</xdr:colOff>
      <xdr:row>8</xdr:row>
      <xdr:rowOff>0</xdr:rowOff>
    </xdr:from>
    <xdr:to>
      <xdr:col>5</xdr:col>
      <xdr:colOff>839330</xdr:colOff>
      <xdr:row>8</xdr:row>
      <xdr:rowOff>201706</xdr:rowOff>
    </xdr:to>
    <xdr:sp macro="" textlink="">
      <xdr:nvSpPr>
        <xdr:cNvPr id="53" name="Retângulo: Cantos Arredondados 52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SpPr/>
      </xdr:nvSpPr>
      <xdr:spPr>
        <a:xfrm>
          <a:off x="1754108" y="1638300"/>
          <a:ext cx="4104897" cy="201706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7</xdr:col>
      <xdr:colOff>0</xdr:colOff>
      <xdr:row>8</xdr:row>
      <xdr:rowOff>0</xdr:rowOff>
    </xdr:from>
    <xdr:to>
      <xdr:col>13</xdr:col>
      <xdr:colOff>9430</xdr:colOff>
      <xdr:row>8</xdr:row>
      <xdr:rowOff>201706</xdr:rowOff>
    </xdr:to>
    <xdr:sp macro="" textlink="">
      <xdr:nvSpPr>
        <xdr:cNvPr id="54" name="Retângulo: Cantos Arredondados 53">
          <a:extLst>
            <a:ext uri="{FF2B5EF4-FFF2-40B4-BE49-F238E27FC236}">
              <a16:creationId xmlns:a16="http://schemas.microsoft.com/office/drawing/2014/main" id="{00000000-0008-0000-1800-000036000000}"/>
            </a:ext>
          </a:extLst>
        </xdr:cNvPr>
        <xdr:cNvSpPr/>
      </xdr:nvSpPr>
      <xdr:spPr>
        <a:xfrm>
          <a:off x="6105525" y="1638300"/>
          <a:ext cx="3752755" cy="201706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0</xdr:col>
      <xdr:colOff>1754108</xdr:colOff>
      <xdr:row>32</xdr:row>
      <xdr:rowOff>198044</xdr:rowOff>
    </xdr:from>
    <xdr:to>
      <xdr:col>5</xdr:col>
      <xdr:colOff>839330</xdr:colOff>
      <xdr:row>33</xdr:row>
      <xdr:rowOff>201706</xdr:rowOff>
    </xdr:to>
    <xdr:sp macro="" textlink="">
      <xdr:nvSpPr>
        <xdr:cNvPr id="55" name="Retângulo: Cantos Arredondados 54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SpPr/>
      </xdr:nvSpPr>
      <xdr:spPr>
        <a:xfrm>
          <a:off x="1754108" y="6408344"/>
          <a:ext cx="4104897" cy="203687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6</xdr:col>
      <xdr:colOff>249913</xdr:colOff>
      <xdr:row>32</xdr:row>
      <xdr:rowOff>198044</xdr:rowOff>
    </xdr:from>
    <xdr:to>
      <xdr:col>14</xdr:col>
      <xdr:colOff>773316</xdr:colOff>
      <xdr:row>33</xdr:row>
      <xdr:rowOff>201706</xdr:rowOff>
    </xdr:to>
    <xdr:sp macro="" textlink="">
      <xdr:nvSpPr>
        <xdr:cNvPr id="56" name="Retângulo: Cantos Arredondados 55">
          <a:extLst>
            <a:ext uri="{FF2B5EF4-FFF2-40B4-BE49-F238E27FC236}">
              <a16:creationId xmlns:a16="http://schemas.microsoft.com/office/drawing/2014/main" id="{00000000-0008-0000-1800-000038000000}"/>
            </a:ext>
          </a:extLst>
        </xdr:cNvPr>
        <xdr:cNvSpPr/>
      </xdr:nvSpPr>
      <xdr:spPr>
        <a:xfrm>
          <a:off x="6107788" y="6408344"/>
          <a:ext cx="5190653" cy="203687"/>
        </a:xfrm>
        <a:prstGeom prst="roundRect">
          <a:avLst>
            <a:gd name="adj" fmla="val 10980"/>
          </a:avLst>
        </a:prstGeom>
        <a:noFill/>
        <a:ln w="28575">
          <a:solidFill>
            <a:srgbClr val="FD3F0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1100">
            <a:solidFill>
              <a:srgbClr val="241716"/>
            </a:solidFill>
          </a:endParaRP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371475</xdr:colOff>
      <xdr:row>6</xdr:row>
      <xdr:rowOff>171450</xdr:rowOff>
    </xdr:to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00000000-0008-0000-1800-000055000000}"/>
            </a:ext>
          </a:extLst>
        </xdr:cNvPr>
        <xdr:cNvSpPr/>
      </xdr:nvSpPr>
      <xdr:spPr>
        <a:xfrm>
          <a:off x="1752600" y="838200"/>
          <a:ext cx="2486025" cy="571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pt-BR" sz="1000" b="1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As</a:t>
          </a:r>
          <a:r>
            <a:rPr lang="pt-BR" sz="1000" b="1" baseline="0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cotas nas ilustrações representam as</a:t>
          </a:r>
          <a:r>
            <a:rPr lang="pt-BR" sz="1000" b="1" baseline="0">
              <a:solidFill>
                <a:srgbClr val="1D2125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pt-BR" sz="1000" b="1" u="none" baseline="0">
              <a:solidFill>
                <a:srgbClr val="FD3F0B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distâncias mínimas </a:t>
          </a:r>
          <a:r>
            <a:rPr lang="pt-BR" sz="1000" b="1" baseline="0">
              <a:solidFill>
                <a:schemeClr val="bg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que satisfazem as verificações para as ligações adotadas.</a:t>
          </a:r>
          <a:endParaRPr lang="pt-BR" sz="1000" b="1">
            <a:solidFill>
              <a:schemeClr val="bg1">
                <a:lumMod val="75000"/>
              </a:schemeClr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21</xdr:col>
      <xdr:colOff>611305</xdr:colOff>
      <xdr:row>2</xdr:row>
      <xdr:rowOff>123477</xdr:rowOff>
    </xdr:to>
    <xdr:grpSp>
      <xdr:nvGrpSpPr>
        <xdr:cNvPr id="86" name="Agrupar 85">
          <a:extLst>
            <a:ext uri="{FF2B5EF4-FFF2-40B4-BE49-F238E27FC236}">
              <a16:creationId xmlns:a16="http://schemas.microsoft.com/office/drawing/2014/main" id="{00000000-0008-0000-1800-000056000000}"/>
            </a:ext>
          </a:extLst>
        </xdr:cNvPr>
        <xdr:cNvGrpSpPr/>
      </xdr:nvGrpSpPr>
      <xdr:grpSpPr>
        <a:xfrm>
          <a:off x="0" y="0"/>
          <a:ext cx="16102765" cy="451137"/>
          <a:chOff x="0" y="0"/>
          <a:chExt cx="18478798" cy="456852"/>
        </a:xfrm>
      </xdr:grpSpPr>
      <xdr:sp macro="" textlink="">
        <xdr:nvSpPr>
          <xdr:cNvPr id="87" name="Retângulo 86">
            <a:extLst>
              <a:ext uri="{FF2B5EF4-FFF2-40B4-BE49-F238E27FC236}">
                <a16:creationId xmlns:a16="http://schemas.microsoft.com/office/drawing/2014/main" id="{00000000-0008-0000-1800-000057000000}"/>
              </a:ext>
            </a:extLst>
          </xdr:cNvPr>
          <xdr:cNvSpPr/>
        </xdr:nvSpPr>
        <xdr:spPr>
          <a:xfrm>
            <a:off x="0" y="0"/>
            <a:ext cx="18478798" cy="456852"/>
          </a:xfrm>
          <a:prstGeom prst="rect">
            <a:avLst/>
          </a:prstGeom>
          <a:solidFill>
            <a:srgbClr val="313537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pSp>
        <xdr:nvGrpSpPr>
          <xdr:cNvPr id="88" name="Agrupar 8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1800-000058000000}"/>
              </a:ext>
            </a:extLst>
          </xdr:cNvPr>
          <xdr:cNvGrpSpPr/>
        </xdr:nvGrpSpPr>
        <xdr:grpSpPr>
          <a:xfrm>
            <a:off x="5898824" y="113707"/>
            <a:ext cx="2981330" cy="244382"/>
            <a:chOff x="9063879" y="460268"/>
            <a:chExt cx="2977960" cy="243680"/>
          </a:xfrm>
        </xdr:grpSpPr>
        <xdr:sp macro="" textlink="">
          <xdr:nvSpPr>
            <xdr:cNvPr id="89" name="Retângulo: Cantos Arredondados 88">
              <a:extLst>
                <a:ext uri="{FF2B5EF4-FFF2-40B4-BE49-F238E27FC236}">
                  <a16:creationId xmlns:a16="http://schemas.microsoft.com/office/drawing/2014/main" id="{00000000-0008-0000-1800-000059000000}"/>
                </a:ext>
              </a:extLst>
            </xdr:cNvPr>
            <xdr:cNvSpPr/>
          </xdr:nvSpPr>
          <xdr:spPr>
            <a:xfrm>
              <a:off x="10011496" y="460268"/>
              <a:ext cx="2030343" cy="243680"/>
            </a:xfrm>
            <a:prstGeom prst="roundRect">
              <a:avLst>
                <a:gd name="adj" fmla="val 50000"/>
              </a:avLst>
            </a:prstGeom>
            <a:noFill/>
            <a:ln w="28575">
              <a:solidFill>
                <a:schemeClr val="tx1">
                  <a:lumMod val="85000"/>
                  <a:lumOff val="15000"/>
                </a:schemeClr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72000" rIns="0" bIns="72000" rtlCol="0" anchor="ctr"/>
            <a:lstStyle/>
            <a:p>
              <a:pPr marL="0" indent="0" algn="l"/>
              <a:r>
                <a:rPr lang="pt-BR" sz="1050">
                  <a:solidFill>
                    <a:schemeClr val="bg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         Ligação: Modelo A</a:t>
              </a:r>
            </a:p>
          </xdr:txBody>
        </xdr:sp>
        <xdr:sp macro="" textlink="">
          <xdr:nvSpPr>
            <xdr:cNvPr id="90" name="Retângulo: Cantos Arredondados 89">
              <a:extLst>
                <a:ext uri="{FF2B5EF4-FFF2-40B4-BE49-F238E27FC236}">
                  <a16:creationId xmlns:a16="http://schemas.microsoft.com/office/drawing/2014/main" id="{00000000-0008-0000-1800-00005A000000}"/>
                </a:ext>
              </a:extLst>
            </xdr:cNvPr>
            <xdr:cNvSpPr/>
          </xdr:nvSpPr>
          <xdr:spPr>
            <a:xfrm>
              <a:off x="9063879" y="460268"/>
              <a:ext cx="1316353" cy="243680"/>
            </a:xfrm>
            <a:prstGeom prst="roundRect">
              <a:avLst>
                <a:gd name="adj" fmla="val 50000"/>
              </a:avLst>
            </a:prstGeom>
            <a:solidFill>
              <a:schemeClr val="tx1">
                <a:lumMod val="85000"/>
                <a:lumOff val="15000"/>
              </a:schemeClr>
            </a:solidFill>
            <a:ln w="28575">
              <a:solidFill>
                <a:schemeClr val="tx1">
                  <a:lumMod val="85000"/>
                  <a:lumOff val="15000"/>
                </a:schemeClr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144000" rIns="0" bIns="72000" rtlCol="0" anchor="ctr"/>
            <a:lstStyle/>
            <a:p>
              <a:pPr marL="0" indent="0" algn="ctr"/>
              <a:r>
                <a:rPr lang="pt-BR" sz="1100">
                  <a:solidFill>
                    <a:schemeClr val="lt1"/>
                  </a:solidFill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Menu Inicial</a:t>
              </a:r>
            </a:p>
          </xdr:txBody>
        </xdr:sp>
      </xdr:grpSp>
    </xdr:grpSp>
    <xdr:clientData/>
  </xdr:twoCellAnchor>
  <xdr:twoCellAnchor>
    <xdr:from>
      <xdr:col>1</xdr:col>
      <xdr:colOff>0</xdr:colOff>
      <xdr:row>6</xdr:row>
      <xdr:rowOff>161925</xdr:rowOff>
    </xdr:from>
    <xdr:to>
      <xdr:col>4</xdr:col>
      <xdr:colOff>434050</xdr:colOff>
      <xdr:row>7</xdr:row>
      <xdr:rowOff>152884</xdr:rowOff>
    </xdr:to>
    <xdr:sp macro="" textlink="">
      <xdr:nvSpPr>
        <xdr:cNvPr id="91" name="Retângulo: Cantos Arredondados 90">
          <a:extLst>
            <a:ext uri="{FF2B5EF4-FFF2-40B4-BE49-F238E27FC236}">
              <a16:creationId xmlns:a16="http://schemas.microsoft.com/office/drawing/2014/main" id="{00000000-0008-0000-1800-00005B000000}"/>
            </a:ext>
          </a:extLst>
        </xdr:cNvPr>
        <xdr:cNvSpPr/>
      </xdr:nvSpPr>
      <xdr:spPr>
        <a:xfrm>
          <a:off x="1752600" y="1400175"/>
          <a:ext cx="2548600" cy="190984"/>
        </a:xfrm>
        <a:prstGeom prst="roundRect">
          <a:avLst>
            <a:gd name="adj" fmla="val 50000"/>
          </a:avLst>
        </a:prstGeom>
        <a:solidFill>
          <a:srgbClr val="343B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900" b="1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Ilustrações</a:t>
          </a:r>
          <a:r>
            <a:rPr lang="pt-BR" sz="900" b="1" baseline="0">
              <a:solidFill>
                <a:schemeClr val="bg1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com Dimensões Fora de Proporção</a:t>
          </a:r>
          <a:endParaRPr lang="pt-BR" sz="900" b="1">
            <a:solidFill>
              <a:schemeClr val="bg1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>
    <xdr:from>
      <xdr:col>5</xdr:col>
      <xdr:colOff>31887</xdr:colOff>
      <xdr:row>1</xdr:row>
      <xdr:rowOff>24485</xdr:rowOff>
    </xdr:from>
    <xdr:to>
      <xdr:col>5</xdr:col>
      <xdr:colOff>200709</xdr:colOff>
      <xdr:row>1</xdr:row>
      <xdr:rowOff>183664</xdr:rowOff>
    </xdr:to>
    <xdr:sp macro="" textlink="">
      <xdr:nvSpPr>
        <xdr:cNvPr id="65" name="Forma Livre: Forma 64">
          <a:extLst>
            <a:ext uri="{FF2B5EF4-FFF2-40B4-BE49-F238E27FC236}">
              <a16:creationId xmlns:a16="http://schemas.microsoft.com/office/drawing/2014/main" id="{00000000-0008-0000-1800-000041000000}"/>
            </a:ext>
          </a:extLst>
        </xdr:cNvPr>
        <xdr:cNvSpPr>
          <a:spLocks noChangeAspect="1"/>
        </xdr:cNvSpPr>
      </xdr:nvSpPr>
      <xdr:spPr>
        <a:xfrm>
          <a:off x="5053837" y="148879"/>
          <a:ext cx="168822" cy="159179"/>
        </a:xfrm>
        <a:custGeom>
          <a:avLst/>
          <a:gdLst>
            <a:gd name="connsiteX0" fmla="*/ 2207243 w 3579070"/>
            <a:gd name="connsiteY0" fmla="*/ 3366545 h 3368926"/>
            <a:gd name="connsiteX1" fmla="*/ 2535059 w 3579070"/>
            <a:gd name="connsiteY1" fmla="*/ 3366545 h 3368926"/>
            <a:gd name="connsiteX2" fmla="*/ 2523265 w 3579070"/>
            <a:gd name="connsiteY2" fmla="*/ 3368926 h 3368926"/>
            <a:gd name="connsiteX3" fmla="*/ 2219036 w 3579070"/>
            <a:gd name="connsiteY3" fmla="*/ 3368926 h 3368926"/>
            <a:gd name="connsiteX4" fmla="*/ 1789535 w 3579070"/>
            <a:gd name="connsiteY4" fmla="*/ 0 h 3368926"/>
            <a:gd name="connsiteX5" fmla="*/ 2012243 w 3579070"/>
            <a:gd name="connsiteY5" fmla="*/ 92249 h 3368926"/>
            <a:gd name="connsiteX6" fmla="*/ 2012247 w 3579070"/>
            <a:gd name="connsiteY6" fmla="*/ 92254 h 3368926"/>
            <a:gd name="connsiteX7" fmla="*/ 3486822 w 3579070"/>
            <a:gd name="connsiteY7" fmla="*/ 1566828 h 3368926"/>
            <a:gd name="connsiteX8" fmla="*/ 3486822 w 3579070"/>
            <a:gd name="connsiteY8" fmla="*/ 2012243 h 3368926"/>
            <a:gd name="connsiteX9" fmla="*/ 3203960 w 3579070"/>
            <a:gd name="connsiteY9" fmla="*/ 2098726 h 3368926"/>
            <a:gd name="connsiteX10" fmla="*/ 3147176 w 3579070"/>
            <a:gd name="connsiteY10" fmla="*/ 2081898 h 3368926"/>
            <a:gd name="connsiteX11" fmla="*/ 3147176 w 3579070"/>
            <a:gd name="connsiteY11" fmla="*/ 2993894 h 3368926"/>
            <a:gd name="connsiteX12" fmla="*/ 2774526 w 3579070"/>
            <a:gd name="connsiteY12" fmla="*/ 3366544 h 3368926"/>
            <a:gd name="connsiteX13" fmla="*/ 2535059 w 3579070"/>
            <a:gd name="connsiteY13" fmla="*/ 3366544 h 3368926"/>
            <a:gd name="connsiteX14" fmla="*/ 2207243 w 3579070"/>
            <a:gd name="connsiteY14" fmla="*/ 3366544 h 3368926"/>
            <a:gd name="connsiteX15" fmla="*/ 2182467 w 3579070"/>
            <a:gd name="connsiteY15" fmla="*/ 3361542 h 3368926"/>
            <a:gd name="connsiteX16" fmla="*/ 2132471 w 3579070"/>
            <a:gd name="connsiteY16" fmla="*/ 3311546 h 3368926"/>
            <a:gd name="connsiteX17" fmla="*/ 2127469 w 3579070"/>
            <a:gd name="connsiteY17" fmla="*/ 3286771 h 3368926"/>
            <a:gd name="connsiteX18" fmla="*/ 2127469 w 3579070"/>
            <a:gd name="connsiteY18" fmla="*/ 3286772 h 3368926"/>
            <a:gd name="connsiteX19" fmla="*/ 2125088 w 3579070"/>
            <a:gd name="connsiteY19" fmla="*/ 3274978 h 3368926"/>
            <a:gd name="connsiteX20" fmla="*/ 2125088 w 3579070"/>
            <a:gd name="connsiteY20" fmla="*/ 3079022 h 3368926"/>
            <a:gd name="connsiteX21" fmla="*/ 2126378 w 3579070"/>
            <a:gd name="connsiteY21" fmla="*/ 3072633 h 3368926"/>
            <a:gd name="connsiteX22" fmla="*/ 2126378 w 3579070"/>
            <a:gd name="connsiteY22" fmla="*/ 2991827 h 3368926"/>
            <a:gd name="connsiteX23" fmla="*/ 2127469 w 3579070"/>
            <a:gd name="connsiteY23" fmla="*/ 2986423 h 3368926"/>
            <a:gd name="connsiteX24" fmla="*/ 2127469 w 3579070"/>
            <a:gd name="connsiteY24" fmla="*/ 2455209 h 3368926"/>
            <a:gd name="connsiteX25" fmla="*/ 1962922 w 3579070"/>
            <a:gd name="connsiteY25" fmla="*/ 2290662 h 3368926"/>
            <a:gd name="connsiteX26" fmla="*/ 1619710 w 3579070"/>
            <a:gd name="connsiteY26" fmla="*/ 2290662 h 3368926"/>
            <a:gd name="connsiteX27" fmla="*/ 1455163 w 3579070"/>
            <a:gd name="connsiteY27" fmla="*/ 2455209 h 3368926"/>
            <a:gd name="connsiteX28" fmla="*/ 1455163 w 3579070"/>
            <a:gd name="connsiteY28" fmla="*/ 3067228 h 3368926"/>
            <a:gd name="connsiteX29" fmla="*/ 1452782 w 3579070"/>
            <a:gd name="connsiteY29" fmla="*/ 3055435 h 3368926"/>
            <a:gd name="connsiteX30" fmla="*/ 1452782 w 3579070"/>
            <a:gd name="connsiteY30" fmla="*/ 3055436 h 3368926"/>
            <a:gd name="connsiteX31" fmla="*/ 1455163 w 3579070"/>
            <a:gd name="connsiteY31" fmla="*/ 3067229 h 3368926"/>
            <a:gd name="connsiteX32" fmla="*/ 1457544 w 3579070"/>
            <a:gd name="connsiteY32" fmla="*/ 3079022 h 3368926"/>
            <a:gd name="connsiteX33" fmla="*/ 1457544 w 3579070"/>
            <a:gd name="connsiteY33" fmla="*/ 3274978 h 3368926"/>
            <a:gd name="connsiteX34" fmla="*/ 1455163 w 3579070"/>
            <a:gd name="connsiteY34" fmla="*/ 3286772 h 3368926"/>
            <a:gd name="connsiteX35" fmla="*/ 1450161 w 3579070"/>
            <a:gd name="connsiteY35" fmla="*/ 3311547 h 3368926"/>
            <a:gd name="connsiteX36" fmla="*/ 1400165 w 3579070"/>
            <a:gd name="connsiteY36" fmla="*/ 3361543 h 3368926"/>
            <a:gd name="connsiteX37" fmla="*/ 1375389 w 3579070"/>
            <a:gd name="connsiteY37" fmla="*/ 3366545 h 3368926"/>
            <a:gd name="connsiteX38" fmla="*/ 1363596 w 3579070"/>
            <a:gd name="connsiteY38" fmla="*/ 3368926 h 3368926"/>
            <a:gd name="connsiteX39" fmla="*/ 1059367 w 3579070"/>
            <a:gd name="connsiteY39" fmla="*/ 3368926 h 3368926"/>
            <a:gd name="connsiteX40" fmla="*/ 1047573 w 3579070"/>
            <a:gd name="connsiteY40" fmla="*/ 3366545 h 3368926"/>
            <a:gd name="connsiteX41" fmla="*/ 1047568 w 3579070"/>
            <a:gd name="connsiteY41" fmla="*/ 3366544 h 3368926"/>
            <a:gd name="connsiteX42" fmla="*/ 804543 w 3579070"/>
            <a:gd name="connsiteY42" fmla="*/ 3366544 h 3368926"/>
            <a:gd name="connsiteX43" fmla="*/ 431893 w 3579070"/>
            <a:gd name="connsiteY43" fmla="*/ 2993894 h 3368926"/>
            <a:gd name="connsiteX44" fmla="*/ 431893 w 3579070"/>
            <a:gd name="connsiteY44" fmla="*/ 2081898 h 3368926"/>
            <a:gd name="connsiteX45" fmla="*/ 375110 w 3579070"/>
            <a:gd name="connsiteY45" fmla="*/ 2098726 h 3368926"/>
            <a:gd name="connsiteX46" fmla="*/ 92248 w 3579070"/>
            <a:gd name="connsiteY46" fmla="*/ 2012243 h 3368926"/>
            <a:gd name="connsiteX47" fmla="*/ 92248 w 3579070"/>
            <a:gd name="connsiteY47" fmla="*/ 1566828 h 3368926"/>
            <a:gd name="connsiteX48" fmla="*/ 1566823 w 3579070"/>
            <a:gd name="connsiteY48" fmla="*/ 92254 h 3368926"/>
            <a:gd name="connsiteX49" fmla="*/ 1566827 w 3579070"/>
            <a:gd name="connsiteY49" fmla="*/ 92249 h 3368926"/>
            <a:gd name="connsiteX50" fmla="*/ 1729380 w 3579070"/>
            <a:gd name="connsiteY50" fmla="*/ 5766 h 3368926"/>
            <a:gd name="connsiteX51" fmla="*/ 1784115 w 3579070"/>
            <a:gd name="connsiteY51" fmla="*/ 520 h 336892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3579070" h="3368926">
              <a:moveTo>
                <a:pt x="2207243" y="3366545"/>
              </a:moveTo>
              <a:lnTo>
                <a:pt x="2535059" y="3366545"/>
              </a:lnTo>
              <a:lnTo>
                <a:pt x="2523265" y="3368926"/>
              </a:lnTo>
              <a:lnTo>
                <a:pt x="2219036" y="3368926"/>
              </a:lnTo>
              <a:close/>
              <a:moveTo>
                <a:pt x="1789535" y="0"/>
              </a:moveTo>
              <a:cubicBezTo>
                <a:pt x="1870140" y="0"/>
                <a:pt x="1950744" y="30750"/>
                <a:pt x="2012243" y="92249"/>
              </a:cubicBezTo>
              <a:lnTo>
                <a:pt x="2012247" y="92254"/>
              </a:lnTo>
              <a:lnTo>
                <a:pt x="3486822" y="1566828"/>
              </a:lnTo>
              <a:cubicBezTo>
                <a:pt x="3609820" y="1689826"/>
                <a:pt x="3609820" y="1889246"/>
                <a:pt x="3486822" y="2012243"/>
              </a:cubicBezTo>
              <a:cubicBezTo>
                <a:pt x="3409949" y="2089117"/>
                <a:pt x="3303223" y="2117945"/>
                <a:pt x="3203960" y="2098726"/>
              </a:cubicBezTo>
              <a:lnTo>
                <a:pt x="3147176" y="2081898"/>
              </a:lnTo>
              <a:lnTo>
                <a:pt x="3147176" y="2993894"/>
              </a:lnTo>
              <a:cubicBezTo>
                <a:pt x="3147176" y="3199703"/>
                <a:pt x="2980335" y="3366544"/>
                <a:pt x="2774526" y="3366544"/>
              </a:cubicBezTo>
              <a:lnTo>
                <a:pt x="2535059" y="3366544"/>
              </a:lnTo>
              <a:lnTo>
                <a:pt x="2207243" y="3366544"/>
              </a:lnTo>
              <a:lnTo>
                <a:pt x="2182467" y="3361542"/>
              </a:lnTo>
              <a:cubicBezTo>
                <a:pt x="2159988" y="3352034"/>
                <a:pt x="2141979" y="3334026"/>
                <a:pt x="2132471" y="3311546"/>
              </a:cubicBezTo>
              <a:lnTo>
                <a:pt x="2127469" y="3286771"/>
              </a:lnTo>
              <a:lnTo>
                <a:pt x="2127469" y="3286772"/>
              </a:lnTo>
              <a:lnTo>
                <a:pt x="2125088" y="3274978"/>
              </a:lnTo>
              <a:lnTo>
                <a:pt x="2125088" y="3079022"/>
              </a:lnTo>
              <a:lnTo>
                <a:pt x="2126378" y="3072633"/>
              </a:lnTo>
              <a:lnTo>
                <a:pt x="2126378" y="2991827"/>
              </a:lnTo>
              <a:lnTo>
                <a:pt x="2127469" y="2986423"/>
              </a:lnTo>
              <a:lnTo>
                <a:pt x="2127469" y="2455209"/>
              </a:lnTo>
              <a:cubicBezTo>
                <a:pt x="2127469" y="2364332"/>
                <a:pt x="2053799" y="2290662"/>
                <a:pt x="1962922" y="2290662"/>
              </a:cubicBezTo>
              <a:lnTo>
                <a:pt x="1619710" y="2290662"/>
              </a:lnTo>
              <a:cubicBezTo>
                <a:pt x="1528833" y="2290662"/>
                <a:pt x="1455163" y="2364332"/>
                <a:pt x="1455163" y="2455209"/>
              </a:cubicBezTo>
              <a:lnTo>
                <a:pt x="1455163" y="3067228"/>
              </a:lnTo>
              <a:lnTo>
                <a:pt x="1452782" y="3055435"/>
              </a:lnTo>
              <a:lnTo>
                <a:pt x="1452782" y="3055436"/>
              </a:lnTo>
              <a:lnTo>
                <a:pt x="1455163" y="3067229"/>
              </a:lnTo>
              <a:lnTo>
                <a:pt x="1457544" y="3079022"/>
              </a:lnTo>
              <a:lnTo>
                <a:pt x="1457544" y="3274978"/>
              </a:lnTo>
              <a:lnTo>
                <a:pt x="1455163" y="3286772"/>
              </a:lnTo>
              <a:lnTo>
                <a:pt x="1450161" y="3311547"/>
              </a:lnTo>
              <a:cubicBezTo>
                <a:pt x="1440653" y="3334027"/>
                <a:pt x="1422644" y="3352035"/>
                <a:pt x="1400165" y="3361543"/>
              </a:cubicBezTo>
              <a:lnTo>
                <a:pt x="1375389" y="3366545"/>
              </a:lnTo>
              <a:lnTo>
                <a:pt x="1363596" y="3368926"/>
              </a:lnTo>
              <a:lnTo>
                <a:pt x="1059367" y="3368926"/>
              </a:lnTo>
              <a:lnTo>
                <a:pt x="1047573" y="3366545"/>
              </a:lnTo>
              <a:lnTo>
                <a:pt x="1047568" y="3366544"/>
              </a:lnTo>
              <a:lnTo>
                <a:pt x="804543" y="3366544"/>
              </a:lnTo>
              <a:cubicBezTo>
                <a:pt x="598734" y="3366544"/>
                <a:pt x="431893" y="3199703"/>
                <a:pt x="431893" y="2993894"/>
              </a:cubicBezTo>
              <a:lnTo>
                <a:pt x="431893" y="2081898"/>
              </a:lnTo>
              <a:lnTo>
                <a:pt x="375110" y="2098726"/>
              </a:lnTo>
              <a:cubicBezTo>
                <a:pt x="275847" y="2117945"/>
                <a:pt x="169121" y="2089117"/>
                <a:pt x="92248" y="2012243"/>
              </a:cubicBezTo>
              <a:cubicBezTo>
                <a:pt x="-30750" y="1889246"/>
                <a:pt x="-30750" y="1689826"/>
                <a:pt x="92248" y="1566828"/>
              </a:cubicBezTo>
              <a:lnTo>
                <a:pt x="1566823" y="92254"/>
              </a:lnTo>
              <a:lnTo>
                <a:pt x="1566827" y="92249"/>
              </a:lnTo>
              <a:cubicBezTo>
                <a:pt x="1612951" y="46124"/>
                <a:pt x="1669822" y="17297"/>
                <a:pt x="1729380" y="5766"/>
              </a:cubicBezTo>
              <a:lnTo>
                <a:pt x="1784115" y="520"/>
              </a:ln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mar.jr.s20@gmail.com" TargetMode="External"/><Relationship Id="rId2" Type="http://schemas.openxmlformats.org/officeDocument/2006/relationships/hyperlink" Target="mailto:e_eduardofontes@ufpi.edu.br" TargetMode="External"/><Relationship Id="rId1" Type="http://schemas.openxmlformats.org/officeDocument/2006/relationships/hyperlink" Target="mailto:luisenaiton@ufpi.edu.b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35A5-B5DE-451F-A252-76A3808D9D88}">
  <sheetPr>
    <tabColor rgb="FFFD3F0B"/>
    <outlinePr showOutlineSymbols="0"/>
    <pageSetUpPr autoPageBreaks="0"/>
  </sheetPr>
  <dimension ref="A1:AK53"/>
  <sheetViews>
    <sheetView showGridLines="0" showRowColHeaders="0" tabSelected="1" zoomScaleNormal="100" workbookViewId="0"/>
  </sheetViews>
  <sheetFormatPr defaultColWidth="0" defaultRowHeight="15" customHeight="1" zeroHeight="1"/>
  <cols>
    <col min="1" max="1" width="14.33203125" customWidth="1"/>
    <col min="2" max="21" width="9.109375" customWidth="1"/>
    <col min="22" max="37" width="0" hidden="1" customWidth="1"/>
    <col min="38" max="16384" width="9.109375" hidden="1"/>
  </cols>
  <sheetData>
    <row r="1" spans="1:37" ht="31.5" customHeight="1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</row>
    <row r="2" spans="1:37" ht="56.25" customHeight="1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</row>
    <row r="3" spans="1:37" ht="14.4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</row>
    <row r="4" spans="1:37" ht="14.4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</row>
    <row r="5" spans="1:37" ht="14.4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</row>
    <row r="6" spans="1:37" ht="14.4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</row>
    <row r="7" spans="1:37" ht="14.4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</row>
    <row r="8" spans="1:37" ht="14.4">
      <c r="A8" s="171"/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</row>
    <row r="9" spans="1:37" ht="14.4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</row>
    <row r="10" spans="1:37" ht="14.4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</row>
    <row r="11" spans="1:37" ht="14.4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</row>
    <row r="12" spans="1:37" ht="14.4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</row>
    <row r="13" spans="1:37" ht="14.4">
      <c r="A13" s="171"/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</row>
    <row r="14" spans="1:37" ht="14.4">
      <c r="A14" s="171"/>
      <c r="B14" s="171"/>
      <c r="C14" s="171"/>
      <c r="D14" s="171"/>
      <c r="E14" s="171"/>
      <c r="F14" s="171"/>
      <c r="G14" s="171"/>
      <c r="H14" s="171"/>
      <c r="I14" s="172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</row>
    <row r="15" spans="1:37" ht="14.4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</row>
    <row r="16" spans="1:37" ht="14.4">
      <c r="A16" s="171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</row>
    <row r="17" spans="1:37" ht="14.4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</row>
    <row r="18" spans="1:37" ht="14.4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</row>
    <row r="19" spans="1:37" ht="14.4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</row>
    <row r="20" spans="1:37" ht="14.4">
      <c r="A20" s="171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</row>
    <row r="21" spans="1:37" ht="14.4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</row>
    <row r="22" spans="1:37" ht="30" customHeight="1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</row>
    <row r="23" spans="1:37" ht="20.399999999999999">
      <c r="A23" s="171"/>
      <c r="B23" s="171"/>
      <c r="C23" s="171"/>
      <c r="D23" s="171"/>
      <c r="E23" s="173"/>
      <c r="F23" s="173"/>
      <c r="G23" s="733" t="s">
        <v>564</v>
      </c>
      <c r="H23" s="733"/>
      <c r="I23" s="733"/>
      <c r="J23" s="733"/>
      <c r="K23" s="733"/>
      <c r="L23" s="733"/>
      <c r="M23" s="733"/>
      <c r="N23" s="733"/>
      <c r="O23" s="173"/>
      <c r="P23" s="173"/>
      <c r="Q23" s="171"/>
      <c r="R23" s="171"/>
      <c r="S23" s="171"/>
      <c r="T23" s="171"/>
      <c r="U23" s="17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</row>
    <row r="24" spans="1:37" ht="15" customHeight="1">
      <c r="A24" s="171"/>
      <c r="B24" s="171"/>
      <c r="C24" s="171"/>
      <c r="D24" s="171"/>
      <c r="E24" s="173"/>
      <c r="F24" s="173"/>
      <c r="G24" s="734" t="s">
        <v>303</v>
      </c>
      <c r="H24" s="734"/>
      <c r="I24" s="734"/>
      <c r="J24" s="734"/>
      <c r="K24" s="734"/>
      <c r="L24" s="734"/>
      <c r="M24" s="734"/>
      <c r="N24" s="734"/>
      <c r="O24" s="173"/>
      <c r="P24" s="173"/>
      <c r="Q24" s="171"/>
      <c r="R24" s="171"/>
      <c r="S24" s="171"/>
      <c r="T24" s="171"/>
      <c r="U24" s="17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</row>
    <row r="25" spans="1:37" ht="16.8">
      <c r="A25" s="171"/>
      <c r="B25" s="171"/>
      <c r="C25" s="171"/>
      <c r="D25" s="171"/>
      <c r="E25" s="173"/>
      <c r="F25" s="173"/>
      <c r="G25" s="734"/>
      <c r="H25" s="734"/>
      <c r="I25" s="734"/>
      <c r="J25" s="734"/>
      <c r="K25" s="734"/>
      <c r="L25" s="734"/>
      <c r="M25" s="734"/>
      <c r="N25" s="734"/>
      <c r="O25" s="173"/>
      <c r="P25" s="173"/>
      <c r="Q25" s="171"/>
      <c r="R25" s="171"/>
      <c r="S25" s="171"/>
      <c r="T25" s="171"/>
      <c r="U25" s="17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</row>
    <row r="26" spans="1:37" ht="16.8">
      <c r="A26" s="171"/>
      <c r="B26" s="171"/>
      <c r="C26" s="171"/>
      <c r="D26" s="171"/>
      <c r="E26" s="173"/>
      <c r="F26" s="173"/>
      <c r="G26" s="734"/>
      <c r="H26" s="734"/>
      <c r="I26" s="734"/>
      <c r="J26" s="734"/>
      <c r="K26" s="734"/>
      <c r="L26" s="734"/>
      <c r="M26" s="734"/>
      <c r="N26" s="734"/>
      <c r="O26" s="173"/>
      <c r="P26" s="173"/>
      <c r="Q26" s="171"/>
      <c r="R26" s="171"/>
      <c r="S26" s="171"/>
      <c r="T26" s="171"/>
      <c r="U26" s="17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</row>
    <row r="27" spans="1:37" ht="16.8">
      <c r="A27" s="171"/>
      <c r="B27" s="171"/>
      <c r="C27" s="171"/>
      <c r="D27" s="171"/>
      <c r="E27" s="173"/>
      <c r="F27" s="173"/>
      <c r="G27" s="734"/>
      <c r="H27" s="734"/>
      <c r="I27" s="734"/>
      <c r="J27" s="734"/>
      <c r="K27" s="734"/>
      <c r="L27" s="734"/>
      <c r="M27" s="734"/>
      <c r="N27" s="734"/>
      <c r="O27" s="173"/>
      <c r="P27" s="173"/>
      <c r="Q27" s="171"/>
      <c r="R27" s="171"/>
      <c r="S27" s="171"/>
      <c r="T27" s="171"/>
      <c r="U27" s="17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</row>
    <row r="28" spans="1:37" ht="16.8">
      <c r="A28" s="171"/>
      <c r="B28" s="171"/>
      <c r="C28" s="171"/>
      <c r="D28" s="171"/>
      <c r="E28" s="173"/>
      <c r="F28" s="173"/>
      <c r="G28" s="174"/>
      <c r="H28" s="174"/>
      <c r="I28" s="174"/>
      <c r="J28" s="174"/>
      <c r="K28" s="174"/>
      <c r="L28" s="174"/>
      <c r="M28" s="174"/>
      <c r="N28" s="174"/>
      <c r="O28" s="173"/>
      <c r="P28" s="173"/>
      <c r="Q28" s="171"/>
      <c r="R28" s="171"/>
      <c r="S28" s="171"/>
      <c r="T28" s="171"/>
      <c r="U28" s="17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</row>
    <row r="29" spans="1:37" ht="16.8">
      <c r="A29" s="171"/>
      <c r="B29" s="171"/>
      <c r="C29" s="171"/>
      <c r="D29" s="171"/>
      <c r="E29" s="173"/>
      <c r="F29" s="173"/>
      <c r="G29" s="730" t="s">
        <v>301</v>
      </c>
      <c r="H29" s="730"/>
      <c r="I29" s="730"/>
      <c r="J29" s="730"/>
      <c r="K29" s="730"/>
      <c r="L29" s="730"/>
      <c r="M29" s="730"/>
      <c r="N29" s="730"/>
      <c r="O29" s="173"/>
      <c r="P29" s="173"/>
      <c r="Q29" s="171"/>
      <c r="R29" s="171"/>
      <c r="S29" s="171"/>
      <c r="T29" s="171"/>
      <c r="U29" s="17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</row>
    <row r="30" spans="1:37" ht="16.8">
      <c r="A30" s="171"/>
      <c r="B30" s="171"/>
      <c r="C30" s="171"/>
      <c r="D30" s="171"/>
      <c r="E30" s="173"/>
      <c r="F30" s="173"/>
      <c r="G30" s="175"/>
      <c r="H30" s="175"/>
      <c r="I30" s="175"/>
      <c r="J30" s="730" t="s">
        <v>569</v>
      </c>
      <c r="K30" s="730"/>
      <c r="L30" s="176"/>
      <c r="M30" s="175"/>
      <c r="N30" s="175"/>
      <c r="O30" s="173"/>
      <c r="P30" s="173"/>
      <c r="Q30" s="171"/>
      <c r="R30" s="171"/>
      <c r="S30" s="171"/>
      <c r="T30" s="171"/>
      <c r="U30" s="17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</row>
    <row r="31" spans="1:37" ht="16.8">
      <c r="A31" s="171"/>
      <c r="B31" s="171"/>
      <c r="C31" s="171"/>
      <c r="D31" s="171"/>
      <c r="E31" s="173"/>
      <c r="F31" s="173"/>
      <c r="G31" s="730" t="s">
        <v>571</v>
      </c>
      <c r="H31" s="730"/>
      <c r="I31" s="730"/>
      <c r="J31" s="730"/>
      <c r="K31" s="730"/>
      <c r="L31" s="730"/>
      <c r="M31" s="730"/>
      <c r="N31" s="730"/>
      <c r="O31" s="173"/>
      <c r="P31" s="173"/>
      <c r="Q31" s="171"/>
      <c r="R31" s="171"/>
      <c r="S31" s="171"/>
      <c r="T31" s="171"/>
      <c r="U31" s="17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</row>
    <row r="32" spans="1:37" ht="16.8">
      <c r="A32" s="171"/>
      <c r="B32" s="171"/>
      <c r="C32" s="171"/>
      <c r="D32" s="171"/>
      <c r="E32" s="173"/>
      <c r="F32" s="173"/>
      <c r="G32" s="730" t="s">
        <v>573</v>
      </c>
      <c r="H32" s="730"/>
      <c r="I32" s="730"/>
      <c r="J32" s="730"/>
      <c r="K32" s="730"/>
      <c r="L32" s="730"/>
      <c r="M32" s="730"/>
      <c r="N32" s="730"/>
      <c r="O32" s="173"/>
      <c r="P32" s="173"/>
      <c r="Q32" s="171"/>
      <c r="R32" s="171"/>
      <c r="S32" s="171"/>
      <c r="T32" s="171"/>
      <c r="U32" s="17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</row>
    <row r="33" spans="1:37" ht="16.8">
      <c r="A33" s="171"/>
      <c r="B33" s="171"/>
      <c r="C33" s="171"/>
      <c r="D33" s="171"/>
      <c r="E33" s="173"/>
      <c r="F33" s="173"/>
      <c r="G33" s="730" t="s">
        <v>302</v>
      </c>
      <c r="H33" s="730"/>
      <c r="I33" s="730"/>
      <c r="J33" s="730"/>
      <c r="K33" s="730"/>
      <c r="L33" s="730"/>
      <c r="M33" s="730"/>
      <c r="N33" s="730"/>
      <c r="O33" s="173"/>
      <c r="P33" s="173"/>
      <c r="Q33" s="171"/>
      <c r="R33" s="171"/>
      <c r="S33" s="171"/>
      <c r="T33" s="171"/>
      <c r="U33" s="17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</row>
    <row r="34" spans="1:37" ht="16.8">
      <c r="A34" s="171"/>
      <c r="B34" s="171"/>
      <c r="C34" s="171"/>
      <c r="D34" s="171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1"/>
      <c r="R34" s="171"/>
      <c r="S34" s="171"/>
      <c r="T34" s="171"/>
      <c r="U34" s="17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</row>
    <row r="35" spans="1:37" ht="23.25" customHeight="1">
      <c r="A35" s="171"/>
      <c r="B35" s="171"/>
      <c r="C35" s="171"/>
      <c r="D35" s="171"/>
      <c r="E35" s="173"/>
      <c r="F35" s="173"/>
      <c r="G35" s="733" t="s">
        <v>568</v>
      </c>
      <c r="H35" s="733"/>
      <c r="I35" s="733"/>
      <c r="J35" s="733"/>
      <c r="K35" s="733"/>
      <c r="L35" s="733"/>
      <c r="M35" s="733"/>
      <c r="N35" s="733"/>
      <c r="O35" s="173"/>
      <c r="P35" s="173"/>
      <c r="Q35" s="171"/>
      <c r="R35" s="171"/>
      <c r="S35" s="171"/>
      <c r="T35" s="171"/>
      <c r="U35" s="17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</row>
    <row r="36" spans="1:37" ht="16.8">
      <c r="A36" s="171"/>
      <c r="B36" s="171"/>
      <c r="C36" s="171"/>
      <c r="D36" s="171"/>
      <c r="E36" s="173"/>
      <c r="F36" s="173"/>
      <c r="G36" s="734" t="s">
        <v>386</v>
      </c>
      <c r="H36" s="734"/>
      <c r="I36" s="734"/>
      <c r="J36" s="734"/>
      <c r="K36" s="734"/>
      <c r="L36" s="734"/>
      <c r="M36" s="734"/>
      <c r="N36" s="734"/>
      <c r="O36" s="173"/>
      <c r="P36" s="173"/>
      <c r="Q36" s="171"/>
      <c r="R36" s="171"/>
      <c r="S36" s="171"/>
      <c r="T36" s="171"/>
      <c r="U36" s="17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</row>
    <row r="37" spans="1:37" ht="16.8">
      <c r="A37" s="171"/>
      <c r="B37" s="171"/>
      <c r="C37" s="171"/>
      <c r="D37" s="171"/>
      <c r="E37" s="173"/>
      <c r="F37" s="173"/>
      <c r="G37" s="731" t="s">
        <v>570</v>
      </c>
      <c r="H37" s="731"/>
      <c r="I37" s="731"/>
      <c r="J37" s="731"/>
      <c r="K37" s="731"/>
      <c r="L37" s="731"/>
      <c r="M37" s="731"/>
      <c r="N37" s="731"/>
      <c r="O37" s="173"/>
      <c r="P37" s="173"/>
      <c r="Q37" s="171"/>
      <c r="R37" s="731"/>
      <c r="S37" s="731"/>
      <c r="T37" s="731"/>
      <c r="U37" s="731"/>
      <c r="V37" s="731"/>
      <c r="W37" s="731"/>
      <c r="X37" s="731"/>
      <c r="Y37" s="73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</row>
    <row r="38" spans="1:37" ht="16.8">
      <c r="A38" s="171"/>
      <c r="B38" s="171"/>
      <c r="C38" s="171"/>
      <c r="D38" s="171"/>
      <c r="E38" s="173"/>
      <c r="F38" s="173"/>
      <c r="G38" s="731" t="s">
        <v>572</v>
      </c>
      <c r="H38" s="731"/>
      <c r="I38" s="731"/>
      <c r="J38" s="731"/>
      <c r="K38" s="731"/>
      <c r="L38" s="731"/>
      <c r="M38" s="731"/>
      <c r="N38" s="731"/>
      <c r="O38" s="173"/>
      <c r="P38" s="173"/>
      <c r="Q38" s="171"/>
      <c r="R38" s="171"/>
      <c r="S38" s="171"/>
      <c r="T38" s="171"/>
      <c r="U38" s="17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</row>
    <row r="39" spans="1:37" ht="16.8">
      <c r="A39" s="171"/>
      <c r="B39" s="171"/>
      <c r="C39" s="171"/>
      <c r="D39" s="171"/>
      <c r="E39" s="173"/>
      <c r="F39" s="173"/>
      <c r="G39" s="731" t="s">
        <v>304</v>
      </c>
      <c r="H39" s="731"/>
      <c r="I39" s="731"/>
      <c r="J39" s="731"/>
      <c r="K39" s="731"/>
      <c r="L39" s="731"/>
      <c r="M39" s="731"/>
      <c r="N39" s="731"/>
      <c r="O39" s="173"/>
      <c r="P39" s="173"/>
      <c r="Q39" s="171"/>
      <c r="R39" s="171"/>
      <c r="S39" s="171"/>
      <c r="T39" s="171"/>
      <c r="U39" s="17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</row>
    <row r="40" spans="1:37" ht="16.8">
      <c r="A40" s="171"/>
      <c r="B40" s="171"/>
      <c r="C40" s="171"/>
      <c r="D40" s="171"/>
      <c r="E40" s="173"/>
      <c r="F40" s="694"/>
      <c r="G40" s="694"/>
      <c r="H40" s="694"/>
      <c r="I40" s="694"/>
      <c r="J40" s="694"/>
      <c r="K40" s="694"/>
      <c r="L40" s="694"/>
      <c r="M40" s="694"/>
      <c r="N40" s="694"/>
      <c r="O40" s="694"/>
      <c r="P40" s="173"/>
      <c r="Q40" s="171"/>
      <c r="R40" s="171"/>
      <c r="S40" s="171"/>
      <c r="T40" s="171"/>
      <c r="U40" s="17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</row>
    <row r="41" spans="1:37">
      <c r="A41" s="171"/>
      <c r="B41" s="171"/>
      <c r="C41" s="171"/>
      <c r="D41" s="171"/>
      <c r="E41" s="732"/>
      <c r="F41" s="732"/>
      <c r="G41" s="732"/>
      <c r="H41" s="732"/>
      <c r="I41" s="732"/>
      <c r="J41" s="732"/>
      <c r="K41" s="732"/>
      <c r="L41" s="732"/>
      <c r="M41" s="732"/>
      <c r="N41" s="732"/>
      <c r="O41" s="732"/>
      <c r="P41" s="732"/>
      <c r="Q41" s="171"/>
      <c r="R41" s="171"/>
      <c r="S41" s="171"/>
      <c r="T41" s="171"/>
      <c r="U41" s="17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</row>
    <row r="42" spans="1:37" ht="99.9" customHeight="1">
      <c r="A42" s="171"/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</row>
    <row r="43" spans="1:37" ht="14.4" hidden="1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</row>
    <row r="44" spans="1:37" ht="14.4" hidden="1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</row>
    <row r="45" spans="1:37" ht="14.4" hidden="1">
      <c r="A45" s="141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</row>
    <row r="46" spans="1:37" ht="14.4" hidden="1">
      <c r="A46" s="141"/>
      <c r="B46" s="141"/>
      <c r="C46" s="141"/>
      <c r="D46" s="141"/>
      <c r="E46" s="141"/>
      <c r="F46" s="141"/>
      <c r="G46" s="141"/>
      <c r="H46" s="142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</row>
    <row r="47" spans="1:37" ht="14.4" hidden="1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</row>
    <row r="48" spans="1:37" ht="14.4" hidden="1">
      <c r="A48" s="141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</row>
    <row r="49" spans="1:37" ht="14.4" hidden="1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</row>
    <row r="50" spans="1:37" ht="14.4" hidden="1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</row>
    <row r="51" spans="1:37" ht="14.4" hidden="1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</row>
    <row r="52" spans="1:37" ht="14.4" hidden="1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</row>
    <row r="53" spans="1:37" ht="14.4" hidden="1">
      <c r="A53" s="141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</row>
  </sheetData>
  <sheetProtection algorithmName="SHA-512" hashValue="BYPfaniKbc0KzqLYsNPNWdMnhyrI+Spj3KNFmoRSmZSbn8fl1ZQOojkC0WDeo9wVoMQJnUuLxXfCeCu3NHHxqw==" saltValue="VTim738BcgUydB0c5XyPew==" spinCount="100000" sheet="1" objects="1" scenarios="1" selectLockedCells="1"/>
  <mergeCells count="14">
    <mergeCell ref="G32:N32"/>
    <mergeCell ref="G23:N23"/>
    <mergeCell ref="G24:N27"/>
    <mergeCell ref="G29:N29"/>
    <mergeCell ref="J30:K30"/>
    <mergeCell ref="G31:N31"/>
    <mergeCell ref="G33:N33"/>
    <mergeCell ref="G38:N38"/>
    <mergeCell ref="R37:Y37"/>
    <mergeCell ref="E41:P41"/>
    <mergeCell ref="G35:N35"/>
    <mergeCell ref="G36:N36"/>
    <mergeCell ref="G37:N37"/>
    <mergeCell ref="G39:N39"/>
  </mergeCells>
  <hyperlinks>
    <hyperlink ref="G37" r:id="rId1" xr:uid="{3579ECAD-B58B-4BAD-9C39-0EC2F4035786}"/>
    <hyperlink ref="G39" r:id="rId2" xr:uid="{4EF11ED2-FE76-488A-BCE0-D60A2EBBA71F}"/>
    <hyperlink ref="G38" r:id="rId3" xr:uid="{FBE17224-C246-4C60-A141-6F4FC4DB1408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778C-93F1-471B-B53A-16A7BBC317CB}">
  <sheetPr>
    <tabColor rgb="FF1C617A"/>
    <pageSetUpPr fitToPage="1"/>
  </sheetPr>
  <dimension ref="A1:BZ204"/>
  <sheetViews>
    <sheetView showGridLines="0" zoomScaleNormal="100" workbookViewId="0">
      <pane ySplit="3" topLeftCell="A4" activePane="bottomLeft" state="frozen"/>
      <selection pane="bottomLeft" activeCell="C6" sqref="C6"/>
    </sheetView>
  </sheetViews>
  <sheetFormatPr defaultColWidth="0" defaultRowHeight="14.4" zeroHeight="1"/>
  <cols>
    <col min="1" max="1" width="2.6640625" style="214" customWidth="1"/>
    <col min="2" max="2" width="14" style="215" customWidth="1"/>
    <col min="3" max="3" width="8.6640625" style="215" customWidth="1"/>
    <col min="4" max="5" width="0.88671875" style="215" customWidth="1"/>
    <col min="6" max="6" width="8.6640625" style="215" customWidth="1"/>
    <col min="7" max="8" width="0.88671875" style="215" customWidth="1"/>
    <col min="9" max="9" width="8.6640625" style="215" customWidth="1"/>
    <col min="10" max="10" width="2.6640625" style="214" customWidth="1"/>
    <col min="11" max="26" width="9.109375" customWidth="1"/>
    <col min="27" max="43" width="9.109375" hidden="1" customWidth="1"/>
    <col min="44" max="44" width="27.88671875" hidden="1" customWidth="1"/>
    <col min="45" max="45" width="22.33203125" hidden="1" customWidth="1"/>
    <col min="46" max="47" width="9.109375" hidden="1" customWidth="1"/>
    <col min="48" max="48" width="49" hidden="1" customWidth="1"/>
    <col min="49" max="78" width="0" hidden="1" customWidth="1"/>
    <col min="79" max="16384" width="9.109375" hidden="1"/>
  </cols>
  <sheetData>
    <row r="1" spans="1:26" ht="9.9" customHeight="1">
      <c r="A1" s="177"/>
      <c r="B1" s="178"/>
      <c r="C1" s="178"/>
      <c r="D1" s="178"/>
      <c r="E1" s="178"/>
      <c r="F1" s="178"/>
      <c r="G1" s="178"/>
      <c r="H1" s="178"/>
      <c r="I1" s="178"/>
      <c r="J1" s="177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</row>
    <row r="2" spans="1:26" ht="16.5" customHeight="1">
      <c r="A2" s="177"/>
      <c r="B2" s="178"/>
      <c r="C2" s="178"/>
      <c r="D2" s="178"/>
      <c r="E2" s="178"/>
      <c r="F2" s="178"/>
      <c r="G2" s="178"/>
      <c r="H2" s="178"/>
      <c r="I2" s="178"/>
      <c r="J2" s="177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</row>
    <row r="3" spans="1:26" ht="9.9" customHeight="1">
      <c r="A3" s="177"/>
      <c r="B3" s="178"/>
      <c r="C3" s="178"/>
      <c r="D3" s="178"/>
      <c r="E3" s="178"/>
      <c r="F3" s="178"/>
      <c r="G3" s="178"/>
      <c r="H3" s="178"/>
      <c r="I3" s="178"/>
      <c r="J3" s="177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</row>
    <row r="4" spans="1:26" ht="20.100000000000001" customHeight="1">
      <c r="A4" s="179"/>
      <c r="B4" s="718" t="s">
        <v>387</v>
      </c>
      <c r="C4" s="718"/>
      <c r="D4" s="718"/>
      <c r="E4" s="718"/>
      <c r="F4" s="718"/>
      <c r="G4" s="718"/>
      <c r="H4" s="718"/>
      <c r="I4" s="718"/>
      <c r="J4" s="180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</row>
    <row r="5" spans="1:26" ht="20.100000000000001" customHeight="1">
      <c r="A5" s="179"/>
      <c r="B5" s="719" t="s">
        <v>388</v>
      </c>
      <c r="C5" s="719"/>
      <c r="D5" s="719"/>
      <c r="E5" s="719"/>
      <c r="F5" s="719"/>
      <c r="G5" s="719"/>
      <c r="H5" s="719"/>
      <c r="I5" s="719"/>
      <c r="J5" s="180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</row>
    <row r="6" spans="1:26" ht="15">
      <c r="A6" s="179"/>
      <c r="B6" s="181" t="s">
        <v>389</v>
      </c>
      <c r="C6" s="208">
        <v>6</v>
      </c>
      <c r="D6" s="182"/>
      <c r="E6" s="183"/>
      <c r="F6" s="181" t="s">
        <v>1</v>
      </c>
      <c r="G6" s="181"/>
      <c r="H6" s="181"/>
      <c r="I6" s="206">
        <v>0.7</v>
      </c>
      <c r="J6" s="179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</row>
    <row r="7" spans="1:26" ht="5.0999999999999996" customHeight="1">
      <c r="A7" s="179"/>
      <c r="B7" s="181"/>
      <c r="C7" s="184"/>
      <c r="D7" s="184"/>
      <c r="E7" s="183"/>
      <c r="F7" s="181"/>
      <c r="G7" s="181"/>
      <c r="H7" s="181"/>
      <c r="I7" s="184"/>
      <c r="J7" s="179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</row>
    <row r="8" spans="1:26" ht="15">
      <c r="A8" s="179"/>
      <c r="B8" s="181" t="s">
        <v>0</v>
      </c>
      <c r="C8" s="206">
        <v>20</v>
      </c>
      <c r="D8" s="182"/>
      <c r="E8" s="183"/>
      <c r="F8" s="704" t="s">
        <v>390</v>
      </c>
      <c r="G8" s="704"/>
      <c r="H8" s="704"/>
      <c r="I8" s="206">
        <v>0.1</v>
      </c>
      <c r="J8" s="179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</row>
    <row r="9" spans="1:26" ht="5.0999999999999996" customHeight="1">
      <c r="A9" s="179"/>
      <c r="B9" s="185"/>
      <c r="C9" s="185"/>
      <c r="D9" s="185"/>
      <c r="E9" s="185"/>
      <c r="F9" s="185"/>
      <c r="G9" s="185"/>
      <c r="H9" s="185"/>
      <c r="I9" s="185"/>
      <c r="J9" s="179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</row>
    <row r="10" spans="1:26" ht="20.100000000000001" customHeight="1">
      <c r="A10" s="179"/>
      <c r="B10" s="705" t="s">
        <v>3</v>
      </c>
      <c r="C10" s="705"/>
      <c r="D10" s="705"/>
      <c r="E10" s="705"/>
      <c r="F10" s="705"/>
      <c r="G10" s="705"/>
      <c r="H10" s="705"/>
      <c r="I10" s="705"/>
      <c r="J10" s="180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</row>
    <row r="11" spans="1:26" ht="15">
      <c r="A11" s="179"/>
      <c r="B11" s="704" t="s">
        <v>2</v>
      </c>
      <c r="C11" s="704"/>
      <c r="D11" s="181"/>
      <c r="E11" s="181"/>
      <c r="F11" s="706" t="s">
        <v>52</v>
      </c>
      <c r="G11" s="706"/>
      <c r="H11" s="706"/>
      <c r="I11" s="706"/>
      <c r="J11" s="179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</row>
    <row r="12" spans="1:26" ht="5.0999999999999996" customHeight="1">
      <c r="A12" s="179"/>
      <c r="B12" s="181"/>
      <c r="C12" s="181"/>
      <c r="D12" s="181"/>
      <c r="E12" s="181"/>
      <c r="F12" s="181"/>
      <c r="G12" s="181"/>
      <c r="H12" s="181"/>
      <c r="I12" s="184"/>
      <c r="J12" s="179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</row>
    <row r="13" spans="1:26" ht="15" customHeight="1">
      <c r="A13" s="179"/>
      <c r="B13" s="704" t="s">
        <v>12</v>
      </c>
      <c r="C13" s="704"/>
      <c r="D13" s="181"/>
      <c r="E13" s="181"/>
      <c r="F13" s="181"/>
      <c r="G13" s="181"/>
      <c r="H13" s="181"/>
      <c r="I13" s="209">
        <v>0.3</v>
      </c>
      <c r="J13" s="179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</row>
    <row r="14" spans="1:26" ht="5.0999999999999996" customHeight="1">
      <c r="A14" s="179"/>
      <c r="B14" s="181"/>
      <c r="C14" s="181"/>
      <c r="D14" s="181"/>
      <c r="E14" s="181"/>
      <c r="F14" s="181"/>
      <c r="G14" s="181"/>
      <c r="H14" s="181"/>
      <c r="I14" s="184"/>
      <c r="J14" s="179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</row>
    <row r="15" spans="1:26" ht="15" customHeight="1">
      <c r="A15" s="179"/>
      <c r="B15" s="704" t="s">
        <v>10</v>
      </c>
      <c r="C15" s="704"/>
      <c r="D15" s="181"/>
      <c r="E15" s="181"/>
      <c r="F15" s="181"/>
      <c r="G15" s="181"/>
      <c r="H15" s="181"/>
      <c r="I15" s="209">
        <v>0.3</v>
      </c>
      <c r="J15" s="179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</row>
    <row r="16" spans="1:26" ht="5.0999999999999996" customHeight="1">
      <c r="A16" s="179"/>
      <c r="B16" s="186"/>
      <c r="C16" s="186"/>
      <c r="D16" s="186"/>
      <c r="E16" s="186"/>
      <c r="F16" s="186"/>
      <c r="G16" s="186"/>
      <c r="H16" s="186"/>
      <c r="I16" s="186"/>
      <c r="J16" s="179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</row>
    <row r="17" spans="1:26" ht="16.8">
      <c r="A17" s="179"/>
      <c r="B17" s="720" t="s">
        <v>391</v>
      </c>
      <c r="C17" s="720"/>
      <c r="D17" s="720"/>
      <c r="E17" s="720"/>
      <c r="F17" s="720"/>
      <c r="G17" s="720"/>
      <c r="H17" s="720"/>
      <c r="I17" s="720"/>
      <c r="J17" s="180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</row>
    <row r="18" spans="1:26" ht="12.9" customHeight="1">
      <c r="A18" s="179"/>
      <c r="B18" s="721" t="s">
        <v>7</v>
      </c>
      <c r="C18" s="721"/>
      <c r="D18" s="721"/>
      <c r="E18" s="721"/>
      <c r="F18" s="722">
        <f>VLOOKUP(F11,AXB!M4:Q9,5,0)</f>
        <v>0.3</v>
      </c>
      <c r="G18" s="722"/>
      <c r="H18" s="722"/>
      <c r="I18" s="722"/>
      <c r="J18" s="179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</row>
    <row r="19" spans="1:26" ht="12.9" customHeight="1">
      <c r="A19" s="179"/>
      <c r="B19" s="723" t="s">
        <v>9</v>
      </c>
      <c r="C19" s="723"/>
      <c r="D19" s="723"/>
      <c r="E19" s="723"/>
      <c r="F19" s="724">
        <f>VLOOKUP(F11,AXB!M4:Q9,4,0)</f>
        <v>0.33600000000000002</v>
      </c>
      <c r="G19" s="724"/>
      <c r="H19" s="724"/>
      <c r="I19" s="724"/>
      <c r="J19" s="179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</row>
    <row r="20" spans="1:26" ht="12.9" customHeight="1">
      <c r="A20" s="179"/>
      <c r="B20" s="721" t="s">
        <v>8</v>
      </c>
      <c r="C20" s="721"/>
      <c r="D20" s="721"/>
      <c r="E20" s="721"/>
      <c r="F20" s="725">
        <f>VLOOKUP(F11,AXB!M4:Q9,2,0)</f>
        <v>16</v>
      </c>
      <c r="G20" s="725"/>
      <c r="H20" s="725"/>
      <c r="I20" s="725"/>
      <c r="J20" s="179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</row>
    <row r="21" spans="1:26" ht="12.9" customHeight="1">
      <c r="A21" s="179"/>
      <c r="B21" s="721" t="s">
        <v>392</v>
      </c>
      <c r="C21" s="721"/>
      <c r="D21" s="721"/>
      <c r="E21" s="721"/>
      <c r="F21" s="726">
        <f>VLOOKUP(F11,AXB!M4:Q9,3,0)</f>
        <v>2.4</v>
      </c>
      <c r="G21" s="726"/>
      <c r="H21" s="726"/>
      <c r="I21" s="726"/>
      <c r="J21" s="179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</row>
    <row r="22" spans="1:26" ht="5.0999999999999996" customHeight="1">
      <c r="A22" s="179"/>
      <c r="B22" s="185"/>
      <c r="C22" s="185"/>
      <c r="D22" s="185"/>
      <c r="E22" s="185"/>
      <c r="F22" s="185"/>
      <c r="G22" s="185"/>
      <c r="H22" s="185"/>
      <c r="I22" s="185"/>
      <c r="J22" s="179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</row>
    <row r="23" spans="1:26" ht="16.5" customHeight="1">
      <c r="A23" s="179"/>
      <c r="B23" s="719" t="s">
        <v>393</v>
      </c>
      <c r="C23" s="719"/>
      <c r="D23" s="719"/>
      <c r="E23" s="719"/>
      <c r="F23" s="719"/>
      <c r="G23" s="719"/>
      <c r="H23" s="719"/>
      <c r="I23" s="719"/>
      <c r="J23" s="179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</row>
    <row r="24" spans="1:26" ht="20.100000000000001" customHeight="1">
      <c r="A24" s="179"/>
      <c r="B24" s="179"/>
      <c r="C24" s="187" t="s">
        <v>4</v>
      </c>
      <c r="D24" s="188"/>
      <c r="E24" s="187"/>
      <c r="F24" s="187" t="s">
        <v>5</v>
      </c>
      <c r="G24" s="188"/>
      <c r="H24" s="187"/>
      <c r="I24" s="187" t="s">
        <v>6</v>
      </c>
      <c r="J24" s="180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</row>
    <row r="25" spans="1:26" ht="15">
      <c r="A25" s="179"/>
      <c r="B25" s="181" t="s">
        <v>14</v>
      </c>
      <c r="C25" s="210">
        <v>5</v>
      </c>
      <c r="D25" s="189"/>
      <c r="E25" s="184"/>
      <c r="F25" s="210">
        <v>4</v>
      </c>
      <c r="G25" s="190"/>
      <c r="H25" s="184"/>
      <c r="I25" s="210">
        <v>6</v>
      </c>
      <c r="J25" s="179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</row>
    <row r="26" spans="1:26" ht="5.0999999999999996" customHeight="1">
      <c r="A26" s="179"/>
      <c r="B26" s="181"/>
      <c r="C26" s="184"/>
      <c r="D26" s="191"/>
      <c r="E26" s="184"/>
      <c r="F26" s="184"/>
      <c r="G26" s="192"/>
      <c r="H26" s="184"/>
      <c r="I26" s="184"/>
      <c r="J26" s="179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</row>
    <row r="27" spans="1:26" ht="15">
      <c r="A27" s="179"/>
      <c r="B27" s="181" t="s">
        <v>15</v>
      </c>
      <c r="C27" s="210">
        <v>1.5</v>
      </c>
      <c r="D27" s="189"/>
      <c r="E27" s="184"/>
      <c r="F27" s="210">
        <v>6</v>
      </c>
      <c r="G27" s="190"/>
      <c r="H27" s="184"/>
      <c r="I27" s="210">
        <v>16</v>
      </c>
      <c r="J27" s="179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</row>
    <row r="28" spans="1:26" ht="5.0999999999999996" customHeight="1">
      <c r="A28" s="179"/>
      <c r="B28" s="181"/>
      <c r="C28" s="184"/>
      <c r="D28" s="191"/>
      <c r="E28" s="184"/>
      <c r="F28" s="184"/>
      <c r="G28" s="192"/>
      <c r="H28" s="184"/>
      <c r="I28" s="184"/>
      <c r="J28" s="179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</row>
    <row r="29" spans="1:26" ht="15">
      <c r="A29" s="179"/>
      <c r="B29" s="181" t="s">
        <v>394</v>
      </c>
      <c r="C29" s="206">
        <v>0.38</v>
      </c>
      <c r="D29" s="189"/>
      <c r="E29" s="184"/>
      <c r="F29" s="206">
        <v>0.7</v>
      </c>
      <c r="G29" s="190"/>
      <c r="H29" s="184"/>
      <c r="I29" s="211">
        <f>AXA!$C$16</f>
        <v>1.5406654406456972</v>
      </c>
      <c r="J29" s="179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</row>
    <row r="30" spans="1:26" ht="5.0999999999999996" customHeight="1">
      <c r="A30" s="179"/>
      <c r="B30" s="185"/>
      <c r="C30" s="185"/>
      <c r="D30" s="185"/>
      <c r="E30" s="185"/>
      <c r="F30" s="193"/>
      <c r="G30" s="193"/>
      <c r="H30" s="193"/>
      <c r="I30" s="193"/>
      <c r="J30" s="179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</row>
    <row r="31" spans="1:26" ht="20.100000000000001" customHeight="1">
      <c r="A31" s="179"/>
      <c r="B31" s="705" t="s">
        <v>395</v>
      </c>
      <c r="C31" s="705"/>
      <c r="D31" s="705"/>
      <c r="E31" s="705"/>
      <c r="F31" s="705"/>
      <c r="G31" s="705"/>
      <c r="H31" s="705"/>
      <c r="I31" s="705"/>
      <c r="J31" s="180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</row>
    <row r="32" spans="1:26" ht="15">
      <c r="A32" s="179"/>
      <c r="B32" s="181" t="s">
        <v>14</v>
      </c>
      <c r="C32" s="210">
        <v>8</v>
      </c>
      <c r="D32" s="194"/>
      <c r="E32" s="183"/>
      <c r="F32" s="728" t="s">
        <v>396</v>
      </c>
      <c r="G32" s="728"/>
      <c r="H32" s="728"/>
      <c r="I32" s="728"/>
      <c r="J32" s="179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</row>
    <row r="33" spans="1:26" ht="5.0999999999999996" customHeight="1">
      <c r="A33" s="179"/>
      <c r="B33" s="181"/>
      <c r="C33" s="184"/>
      <c r="D33" s="184"/>
      <c r="E33" s="183"/>
      <c r="F33" s="181"/>
      <c r="G33" s="181"/>
      <c r="H33" s="181"/>
      <c r="I33" s="181"/>
      <c r="J33" s="179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</row>
    <row r="34" spans="1:26" ht="15">
      <c r="A34" s="179"/>
      <c r="B34" s="181" t="s">
        <v>15</v>
      </c>
      <c r="C34" s="210">
        <v>10</v>
      </c>
      <c r="D34" s="194"/>
      <c r="E34" s="183"/>
      <c r="F34" s="187" t="s">
        <v>397</v>
      </c>
      <c r="G34" s="187"/>
      <c r="H34" s="181"/>
      <c r="I34" s="187" t="s">
        <v>398</v>
      </c>
      <c r="J34" s="179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</row>
    <row r="35" spans="1:26" ht="5.0999999999999996" customHeight="1">
      <c r="A35" s="179"/>
      <c r="B35" s="181"/>
      <c r="C35" s="184"/>
      <c r="D35" s="184"/>
      <c r="E35" s="183"/>
      <c r="F35" s="181"/>
      <c r="G35" s="181"/>
      <c r="H35" s="181"/>
      <c r="I35" s="181"/>
      <c r="J35" s="179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</row>
    <row r="36" spans="1:26" ht="15">
      <c r="A36" s="179"/>
      <c r="B36" s="181" t="s">
        <v>394</v>
      </c>
      <c r="C36" s="206">
        <v>2.5</v>
      </c>
      <c r="D36" s="194"/>
      <c r="E36" s="183"/>
      <c r="F36" s="219">
        <v>1</v>
      </c>
      <c r="G36" s="195"/>
      <c r="H36" s="181"/>
      <c r="I36" s="219">
        <v>1</v>
      </c>
      <c r="J36" s="179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</row>
    <row r="37" spans="1:26" ht="5.0999999999999996" customHeight="1">
      <c r="A37" s="179"/>
      <c r="B37" s="185"/>
      <c r="C37" s="185"/>
      <c r="D37" s="185"/>
      <c r="E37" s="185"/>
      <c r="F37" s="185"/>
      <c r="G37" s="185"/>
      <c r="H37" s="185"/>
      <c r="I37" s="185"/>
      <c r="J37" s="179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</row>
    <row r="38" spans="1:26" ht="20.100000000000001" customHeight="1">
      <c r="A38" s="179"/>
      <c r="B38" s="719" t="s">
        <v>11</v>
      </c>
      <c r="C38" s="719"/>
      <c r="D38" s="719"/>
      <c r="E38" s="719"/>
      <c r="F38" s="719"/>
      <c r="G38" s="719"/>
      <c r="H38" s="719"/>
      <c r="I38" s="719"/>
      <c r="J38" s="180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</row>
    <row r="39" spans="1:26" ht="15">
      <c r="A39" s="179"/>
      <c r="B39" s="704" t="s">
        <v>605</v>
      </c>
      <c r="C39" s="704"/>
      <c r="D39" s="704"/>
      <c r="E39" s="704"/>
      <c r="F39" s="706" t="s">
        <v>588</v>
      </c>
      <c r="G39" s="706"/>
      <c r="H39" s="706"/>
      <c r="I39" s="706"/>
      <c r="J39" s="179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</row>
    <row r="40" spans="1:26" ht="5.0999999999999996" customHeight="1">
      <c r="A40" s="179"/>
      <c r="B40" s="181"/>
      <c r="C40" s="181"/>
      <c r="D40" s="181"/>
      <c r="E40" s="181"/>
      <c r="F40" s="184"/>
      <c r="G40" s="184"/>
      <c r="H40" s="184"/>
      <c r="I40" s="184"/>
      <c r="J40" s="179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</row>
    <row r="41" spans="1:26" ht="15">
      <c r="A41" s="179"/>
      <c r="B41" s="704" t="s">
        <v>13</v>
      </c>
      <c r="C41" s="704"/>
      <c r="D41" s="704"/>
      <c r="E41" s="704"/>
      <c r="F41" s="706" t="s">
        <v>595</v>
      </c>
      <c r="G41" s="706"/>
      <c r="H41" s="706"/>
      <c r="I41" s="706"/>
      <c r="J41" s="179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</row>
    <row r="42" spans="1:26" ht="5.0999999999999996" customHeight="1">
      <c r="A42" s="179"/>
      <c r="B42" s="181"/>
      <c r="C42" s="181"/>
      <c r="D42" s="181"/>
      <c r="E42" s="181"/>
      <c r="F42" s="184"/>
      <c r="G42" s="184"/>
      <c r="H42" s="184"/>
      <c r="I42" s="184"/>
      <c r="J42" s="179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</row>
    <row r="43" spans="1:26" ht="15">
      <c r="A43" s="179"/>
      <c r="B43" s="704" t="s">
        <v>604</v>
      </c>
      <c r="C43" s="704"/>
      <c r="D43" s="704"/>
      <c r="E43" s="704"/>
      <c r="F43" s="184"/>
      <c r="G43" s="184"/>
      <c r="H43" s="184"/>
      <c r="I43" s="700">
        <v>12</v>
      </c>
      <c r="J43" s="179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</row>
    <row r="44" spans="1:26" ht="5.0999999999999996" customHeight="1">
      <c r="A44" s="179"/>
      <c r="B44" s="181"/>
      <c r="C44" s="181"/>
      <c r="D44" s="181"/>
      <c r="E44" s="181"/>
      <c r="F44" s="181"/>
      <c r="G44" s="181"/>
      <c r="H44" s="181"/>
      <c r="I44" s="181"/>
      <c r="J44" s="179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</row>
    <row r="45" spans="1:26" ht="16.8">
      <c r="A45" s="179"/>
      <c r="B45" s="709" t="s">
        <v>399</v>
      </c>
      <c r="C45" s="709"/>
      <c r="D45" s="709"/>
      <c r="E45" s="709"/>
      <c r="F45" s="709"/>
      <c r="G45" s="709"/>
      <c r="H45" s="709"/>
      <c r="I45" s="709"/>
      <c r="J45" s="180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</row>
    <row r="46" spans="1:26" ht="12.9" customHeight="1">
      <c r="A46" s="179"/>
      <c r="B46" s="196" t="s">
        <v>400</v>
      </c>
      <c r="C46" s="713">
        <f>VLOOKUP($F$41,AXB!$C$5:$K$29,3,0)</f>
        <v>840</v>
      </c>
      <c r="D46" s="714"/>
      <c r="E46" s="218"/>
      <c r="F46" s="196" t="s">
        <v>401</v>
      </c>
      <c r="G46" s="196"/>
      <c r="H46" s="196"/>
      <c r="I46" s="217">
        <f>VLOOKUP($F$41,AXB!$C$5:$K$61,4,0)</f>
        <v>32</v>
      </c>
      <c r="J46" s="179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</row>
    <row r="47" spans="1:26" ht="12.9" customHeight="1">
      <c r="A47" s="179"/>
      <c r="B47" s="196" t="s">
        <v>402</v>
      </c>
      <c r="C47" s="711">
        <f>VLOOKUP($F$41,AXB!$C$5:$K$61,8,0)</f>
        <v>17000</v>
      </c>
      <c r="D47" s="712"/>
      <c r="E47" s="218"/>
      <c r="F47" s="196" t="s">
        <v>403</v>
      </c>
      <c r="G47" s="196"/>
      <c r="H47" s="196"/>
      <c r="I47" s="217">
        <f>VLOOKUP($F$41,AXB!$C$5:$K$61,5,0)</f>
        <v>36</v>
      </c>
      <c r="J47" s="179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</row>
    <row r="48" spans="1:26" ht="12.9" customHeight="1">
      <c r="A48" s="179"/>
      <c r="B48" s="196" t="s">
        <v>404</v>
      </c>
      <c r="C48" s="715">
        <f>VLOOKUP($F$41,AXB!$C$5:$K$61,7,0)</f>
        <v>4.5</v>
      </c>
      <c r="D48" s="716"/>
      <c r="E48" s="218"/>
      <c r="F48" s="196" t="s">
        <v>405</v>
      </c>
      <c r="G48" s="203"/>
      <c r="H48" s="203"/>
      <c r="I48" s="217" t="str">
        <f>VLOOKUP($F$41,AXB!$C$5:$K$61,6,0)</f>
        <v>0,6</v>
      </c>
      <c r="J48" s="179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</row>
    <row r="49" spans="1:26" ht="5.0999999999999996" customHeight="1">
      <c r="A49" s="179"/>
      <c r="B49" s="185"/>
      <c r="C49" s="185"/>
      <c r="D49" s="185"/>
      <c r="E49" s="185"/>
      <c r="F49" s="185"/>
      <c r="G49" s="185"/>
      <c r="H49" s="185"/>
      <c r="I49" s="185"/>
      <c r="J49" s="179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</row>
    <row r="50" spans="1:26" ht="20.100000000000001" customHeight="1">
      <c r="A50" s="179"/>
      <c r="B50" s="705" t="s">
        <v>406</v>
      </c>
      <c r="C50" s="705"/>
      <c r="D50" s="705"/>
      <c r="E50" s="705"/>
      <c r="F50" s="705"/>
      <c r="G50" s="705"/>
      <c r="H50" s="705"/>
      <c r="I50" s="705"/>
      <c r="J50" s="179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</row>
    <row r="51" spans="1:26" ht="15">
      <c r="A51" s="179"/>
      <c r="B51" s="710" t="s">
        <v>296</v>
      </c>
      <c r="C51" s="710"/>
      <c r="D51" s="197"/>
      <c r="E51" s="198"/>
      <c r="F51" s="710" t="s">
        <v>95</v>
      </c>
      <c r="G51" s="710"/>
      <c r="H51" s="710"/>
      <c r="I51" s="710"/>
      <c r="J51" s="179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</row>
    <row r="52" spans="1:26" ht="15">
      <c r="A52" s="179"/>
      <c r="B52" s="199" t="s">
        <v>295</v>
      </c>
      <c r="C52" s="207" t="s">
        <v>298</v>
      </c>
      <c r="D52" s="197"/>
      <c r="E52" s="198"/>
      <c r="F52" s="181" t="s">
        <v>216</v>
      </c>
      <c r="G52" s="706" t="s">
        <v>409</v>
      </c>
      <c r="H52" s="706"/>
      <c r="I52" s="706"/>
      <c r="J52" s="179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</row>
    <row r="53" spans="1:26" ht="5.0999999999999996" customHeight="1">
      <c r="A53" s="179"/>
      <c r="B53" s="199"/>
      <c r="C53" s="187"/>
      <c r="D53" s="197"/>
      <c r="E53" s="200"/>
      <c r="F53" s="181"/>
      <c r="G53" s="181"/>
      <c r="H53" s="184"/>
      <c r="I53" s="184"/>
      <c r="J53" s="179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</row>
    <row r="54" spans="1:26" ht="15">
      <c r="A54" s="179"/>
      <c r="B54" s="181" t="s">
        <v>236</v>
      </c>
      <c r="C54" s="212">
        <f>VLOOKUP(C52,AXB!AC4:AD5,2,0)</f>
        <v>0</v>
      </c>
      <c r="D54" s="197"/>
      <c r="E54" s="198"/>
      <c r="F54" s="181" t="s">
        <v>236</v>
      </c>
      <c r="G54" s="729">
        <f>VLOOKUP(G52,AXB!V4:W9,2,0)</f>
        <v>0</v>
      </c>
      <c r="H54" s="729"/>
      <c r="I54" s="729"/>
      <c r="J54" s="179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</row>
    <row r="55" spans="1:26" ht="5.0999999999999996" customHeight="1">
      <c r="A55" s="179"/>
      <c r="B55" s="181"/>
      <c r="C55" s="187"/>
      <c r="D55" s="197"/>
      <c r="E55" s="198"/>
      <c r="F55" s="181"/>
      <c r="G55" s="181"/>
      <c r="H55" s="184"/>
      <c r="I55" s="184"/>
      <c r="J55" s="179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</row>
    <row r="56" spans="1:26" ht="15">
      <c r="A56" s="179"/>
      <c r="B56" s="181" t="s">
        <v>407</v>
      </c>
      <c r="C56" s="213">
        <f>VLOOKUP(C52,AXB!AC4:AE5,3,0)</f>
        <v>0</v>
      </c>
      <c r="D56" s="197"/>
      <c r="E56" s="198"/>
      <c r="F56" s="181"/>
      <c r="G56" s="181"/>
      <c r="H56" s="184"/>
      <c r="I56" s="184"/>
      <c r="J56" s="179"/>
      <c r="K56" s="205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</row>
    <row r="57" spans="1:26" ht="5.0999999999999996" customHeight="1">
      <c r="A57" s="179"/>
      <c r="B57" s="181"/>
      <c r="C57" s="181"/>
      <c r="D57" s="181"/>
      <c r="E57" s="181"/>
      <c r="F57" s="181"/>
      <c r="G57" s="181"/>
      <c r="H57" s="181"/>
      <c r="I57" s="181"/>
      <c r="J57" s="179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</row>
    <row r="58" spans="1:26" ht="20.100000000000001" customHeight="1">
      <c r="A58" s="179"/>
      <c r="B58" s="705" t="s">
        <v>408</v>
      </c>
      <c r="C58" s="705"/>
      <c r="D58" s="705"/>
      <c r="E58" s="705"/>
      <c r="F58" s="705"/>
      <c r="G58" s="705"/>
      <c r="H58" s="705"/>
      <c r="I58" s="705"/>
      <c r="J58" s="179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</row>
    <row r="59" spans="1:26" ht="15">
      <c r="A59" s="179"/>
      <c r="B59" s="704" t="s">
        <v>267</v>
      </c>
      <c r="C59" s="704"/>
      <c r="D59" s="704"/>
      <c r="E59" s="704"/>
      <c r="F59" s="704"/>
      <c r="G59" s="703">
        <v>0</v>
      </c>
      <c r="H59" s="703"/>
      <c r="I59" s="703"/>
      <c r="J59" s="179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</row>
    <row r="60" spans="1:26" ht="5.0999999999999996" customHeight="1">
      <c r="A60" s="179"/>
      <c r="B60" s="181"/>
      <c r="C60" s="181"/>
      <c r="D60" s="181"/>
      <c r="E60" s="181"/>
      <c r="F60" s="181"/>
      <c r="G60" s="181"/>
      <c r="H60" s="181"/>
      <c r="I60" s="184"/>
      <c r="J60" s="179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</row>
    <row r="61" spans="1:26" ht="15">
      <c r="A61" s="179"/>
      <c r="B61" s="704" t="s">
        <v>65</v>
      </c>
      <c r="C61" s="704"/>
      <c r="D61" s="704"/>
      <c r="E61" s="704"/>
      <c r="F61" s="704"/>
      <c r="G61" s="703">
        <v>0.25</v>
      </c>
      <c r="H61" s="703"/>
      <c r="I61" s="703"/>
      <c r="J61" s="179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</row>
    <row r="62" spans="1:26" ht="5.0999999999999996" customHeight="1">
      <c r="A62" s="179"/>
      <c r="B62" s="181"/>
      <c r="C62" s="181"/>
      <c r="D62" s="181"/>
      <c r="E62" s="181"/>
      <c r="F62" s="181"/>
      <c r="G62" s="181"/>
      <c r="H62" s="181"/>
      <c r="I62" s="181"/>
      <c r="J62" s="179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</row>
    <row r="63" spans="1:26" ht="15">
      <c r="A63" s="179"/>
      <c r="B63" s="705" t="s">
        <v>262</v>
      </c>
      <c r="C63" s="705"/>
      <c r="D63" s="705"/>
      <c r="E63" s="705"/>
      <c r="F63" s="705"/>
      <c r="G63" s="705"/>
      <c r="H63" s="705"/>
      <c r="I63" s="705"/>
      <c r="J63" s="179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</row>
    <row r="64" spans="1:26" ht="15">
      <c r="A64" s="179"/>
      <c r="B64" s="704" t="s">
        <v>263</v>
      </c>
      <c r="C64" s="704"/>
      <c r="D64" s="704"/>
      <c r="E64" s="704"/>
      <c r="F64" s="216"/>
      <c r="G64" s="706" t="s">
        <v>305</v>
      </c>
      <c r="H64" s="706"/>
      <c r="I64" s="706"/>
      <c r="J64" s="179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</row>
    <row r="65" spans="1:26" ht="5.0999999999999996" customHeight="1">
      <c r="A65" s="179"/>
      <c r="B65" s="181"/>
      <c r="C65" s="181"/>
      <c r="D65" s="181"/>
      <c r="E65" s="181"/>
      <c r="F65" s="181"/>
      <c r="G65" s="181"/>
      <c r="H65" s="181"/>
      <c r="I65" s="181"/>
      <c r="J65" s="179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</row>
    <row r="66" spans="1:26" ht="15">
      <c r="A66" s="179"/>
      <c r="B66" s="705" t="s">
        <v>241</v>
      </c>
      <c r="C66" s="705"/>
      <c r="D66" s="705"/>
      <c r="E66" s="705"/>
      <c r="F66" s="705"/>
      <c r="G66" s="705"/>
      <c r="H66" s="705"/>
      <c r="I66" s="705"/>
      <c r="J66" s="179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</row>
    <row r="67" spans="1:26" ht="15" customHeight="1">
      <c r="A67" s="179"/>
      <c r="B67" s="717" t="str">
        <f>CONCATENATE("1 Milheiro de telha ",F11)</f>
        <v>1 Milheiro de telha Portuguesa</v>
      </c>
      <c r="C67" s="717"/>
      <c r="D67" s="717"/>
      <c r="E67" s="717"/>
      <c r="F67" s="717"/>
      <c r="G67" s="707">
        <v>600</v>
      </c>
      <c r="H67" s="707"/>
      <c r="I67" s="707"/>
      <c r="J67" s="179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</row>
    <row r="68" spans="1:26" ht="5.0999999999999996" customHeight="1">
      <c r="A68" s="179"/>
      <c r="B68" s="181"/>
      <c r="C68" s="181"/>
      <c r="D68" s="181"/>
      <c r="E68" s="181"/>
      <c r="F68" s="181"/>
      <c r="G68" s="184"/>
      <c r="H68" s="184"/>
      <c r="I68" s="201"/>
      <c r="J68" s="179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</row>
    <row r="69" spans="1:26" ht="15" customHeight="1">
      <c r="A69" s="179"/>
      <c r="B69" s="727" t="str">
        <f>CONCATENATE("1 metro para ripa ","(",C25,"x",C27,"cm)")</f>
        <v>1 metro para ripa (5x1,5cm)</v>
      </c>
      <c r="C69" s="727"/>
      <c r="D69" s="727"/>
      <c r="E69" s="727"/>
      <c r="F69" s="727"/>
      <c r="G69" s="707">
        <v>18</v>
      </c>
      <c r="H69" s="707"/>
      <c r="I69" s="707"/>
      <c r="J69" s="179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</row>
    <row r="70" spans="1:26" ht="5.0999999999999996" customHeight="1">
      <c r="A70" s="179"/>
      <c r="B70" s="181"/>
      <c r="C70" s="181"/>
      <c r="D70" s="181"/>
      <c r="E70" s="181"/>
      <c r="F70" s="181"/>
      <c r="G70" s="202"/>
      <c r="H70" s="201"/>
      <c r="I70" s="201"/>
      <c r="J70" s="179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</row>
    <row r="71" spans="1:26" ht="15" customHeight="1">
      <c r="A71" s="179"/>
      <c r="B71" s="717" t="str">
        <f>CONCATENATE("1 metro para caibro ","(",F25,"x",F27,"cm)")</f>
        <v>1 metro para caibro (4x6cm)</v>
      </c>
      <c r="C71" s="717"/>
      <c r="D71" s="717"/>
      <c r="E71" s="717"/>
      <c r="F71" s="717"/>
      <c r="G71" s="707">
        <v>26</v>
      </c>
      <c r="H71" s="707"/>
      <c r="I71" s="707"/>
      <c r="J71" s="179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</row>
    <row r="72" spans="1:26" ht="5.0999999999999996" customHeight="1">
      <c r="A72" s="179"/>
      <c r="B72" s="181"/>
      <c r="C72" s="181"/>
      <c r="D72" s="181"/>
      <c r="E72" s="181"/>
      <c r="F72" s="181"/>
      <c r="G72" s="184"/>
      <c r="H72" s="201"/>
      <c r="I72" s="201"/>
      <c r="J72" s="179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</row>
    <row r="73" spans="1:26" ht="15" customHeight="1">
      <c r="A73" s="179"/>
      <c r="B73" s="717" t="str">
        <f>CONCATENATE("1 metro para terça ","(",I25,"x",I27,"cm)")</f>
        <v>1 metro para terça (6x16cm)</v>
      </c>
      <c r="C73" s="717"/>
      <c r="D73" s="717"/>
      <c r="E73" s="717"/>
      <c r="F73" s="717"/>
      <c r="G73" s="707">
        <v>30</v>
      </c>
      <c r="H73" s="707"/>
      <c r="I73" s="707"/>
      <c r="J73" s="179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</row>
    <row r="74" spans="1:26" ht="5.0999999999999996" customHeight="1">
      <c r="A74" s="179"/>
      <c r="B74" s="181"/>
      <c r="C74" s="181"/>
      <c r="D74" s="181"/>
      <c r="E74" s="181"/>
      <c r="F74" s="181"/>
      <c r="G74" s="184"/>
      <c r="H74" s="184"/>
      <c r="I74" s="201"/>
      <c r="J74" s="179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</row>
    <row r="75" spans="1:26" ht="15" customHeight="1">
      <c r="A75" s="179"/>
      <c r="B75" s="717" t="str">
        <f>CONCATENATE("1 metro para treliça ","(",C32,"x",C34,"cm)")</f>
        <v>1 metro para treliça (8x10cm)</v>
      </c>
      <c r="C75" s="717"/>
      <c r="D75" s="717"/>
      <c r="E75" s="717"/>
      <c r="F75" s="717"/>
      <c r="G75" s="707">
        <v>30</v>
      </c>
      <c r="H75" s="707"/>
      <c r="I75" s="707"/>
      <c r="J75" s="179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</row>
    <row r="76" spans="1:26" ht="15">
      <c r="A76" s="179"/>
      <c r="B76" s="181"/>
      <c r="C76" s="181"/>
      <c r="D76" s="181"/>
      <c r="E76" s="181"/>
      <c r="F76" s="181"/>
      <c r="G76" s="181"/>
      <c r="H76" s="181"/>
      <c r="I76" s="181"/>
      <c r="J76" s="179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</row>
    <row r="77" spans="1:26" ht="15">
      <c r="A77" s="179"/>
      <c r="B77" s="181"/>
      <c r="C77" s="181"/>
      <c r="D77" s="181"/>
      <c r="E77" s="181"/>
      <c r="F77" s="181"/>
      <c r="G77" s="181"/>
      <c r="H77" s="181"/>
      <c r="I77" s="181"/>
      <c r="J77" s="179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</row>
    <row r="78" spans="1:26" ht="15">
      <c r="A78" s="179"/>
      <c r="B78" s="181"/>
      <c r="C78" s="181"/>
      <c r="D78" s="181"/>
      <c r="E78" s="181"/>
      <c r="F78" s="181"/>
      <c r="G78" s="181"/>
      <c r="H78" s="181"/>
      <c r="I78" s="181"/>
      <c r="J78" s="179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</row>
    <row r="79" spans="1:26" ht="15">
      <c r="A79" s="179"/>
      <c r="B79" s="181"/>
      <c r="C79" s="181"/>
      <c r="D79" s="181"/>
      <c r="E79" s="181"/>
      <c r="F79" s="181"/>
      <c r="G79" s="181"/>
      <c r="H79" s="181"/>
      <c r="I79" s="181"/>
      <c r="J79" s="179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</row>
    <row r="80" spans="1:26" ht="15">
      <c r="A80" s="179"/>
      <c r="B80" s="181"/>
      <c r="C80" s="181"/>
      <c r="D80" s="181"/>
      <c r="E80" s="181"/>
      <c r="F80" s="181"/>
      <c r="G80" s="181"/>
      <c r="H80" s="181"/>
      <c r="I80" s="181"/>
      <c r="J80" s="179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</row>
    <row r="81" spans="1:45" ht="15">
      <c r="A81" s="179"/>
      <c r="B81" s="181"/>
      <c r="C81" s="181"/>
      <c r="D81" s="181"/>
      <c r="E81" s="181"/>
      <c r="F81" s="181"/>
      <c r="G81" s="181"/>
      <c r="H81" s="181"/>
      <c r="I81" s="181"/>
      <c r="J81" s="179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</row>
    <row r="82" spans="1:45" ht="15">
      <c r="A82" s="179"/>
      <c r="B82" s="181"/>
      <c r="C82" s="181"/>
      <c r="D82" s="181"/>
      <c r="E82" s="181"/>
      <c r="F82" s="181"/>
      <c r="G82" s="181"/>
      <c r="H82" s="181"/>
      <c r="I82" s="181"/>
      <c r="J82" s="179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</row>
    <row r="83" spans="1:45" ht="15">
      <c r="A83" s="179"/>
      <c r="B83" s="181"/>
      <c r="C83" s="181"/>
      <c r="D83" s="181"/>
      <c r="E83" s="181"/>
      <c r="F83" s="181"/>
      <c r="G83" s="181"/>
      <c r="H83" s="181"/>
      <c r="I83" s="181"/>
      <c r="J83" s="179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</row>
    <row r="84" spans="1:45" ht="15">
      <c r="A84" s="179"/>
      <c r="B84" s="181"/>
      <c r="C84" s="181"/>
      <c r="D84" s="181"/>
      <c r="E84" s="181"/>
      <c r="F84" s="181"/>
      <c r="G84" s="181"/>
      <c r="H84" s="181"/>
      <c r="I84" s="181"/>
      <c r="J84" s="179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</row>
    <row r="85" spans="1:45" ht="15">
      <c r="A85" s="179"/>
      <c r="B85" s="181"/>
      <c r="C85" s="181"/>
      <c r="D85" s="181"/>
      <c r="E85" s="181"/>
      <c r="F85" s="181"/>
      <c r="G85" s="181"/>
      <c r="H85" s="181"/>
      <c r="I85" s="181"/>
      <c r="J85" s="179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</row>
    <row r="86" spans="1:45" ht="15">
      <c r="A86" s="179"/>
      <c r="B86" s="181"/>
      <c r="C86" s="181"/>
      <c r="D86" s="181"/>
      <c r="E86" s="181"/>
      <c r="F86" s="181"/>
      <c r="G86" s="181"/>
      <c r="H86" s="181"/>
      <c r="I86" s="181"/>
      <c r="J86" s="179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</row>
    <row r="92" spans="1:45" ht="15" hidden="1" customHeight="1">
      <c r="E92" s="230"/>
      <c r="F92" s="230"/>
      <c r="G92" s="230"/>
      <c r="H92" s="230"/>
      <c r="I92" s="230"/>
      <c r="J92" s="231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3"/>
      <c r="X92" s="233"/>
      <c r="Y92" s="233"/>
      <c r="Z92" s="233"/>
      <c r="AA92" s="234"/>
      <c r="AB92" s="234"/>
      <c r="AC92" s="234"/>
      <c r="AD92" s="234"/>
      <c r="AQ92" s="235"/>
      <c r="AR92" s="708"/>
      <c r="AS92" s="708"/>
    </row>
    <row r="93" spans="1:45" ht="15" hidden="1" customHeight="1">
      <c r="E93" s="230"/>
      <c r="F93" s="230"/>
      <c r="G93" s="230"/>
      <c r="H93" s="230"/>
      <c r="I93" s="230"/>
      <c r="J93" s="231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3"/>
      <c r="X93" s="233"/>
      <c r="Y93" s="233"/>
      <c r="Z93" s="233"/>
      <c r="AA93" s="234"/>
      <c r="AB93" s="234"/>
      <c r="AC93" s="234"/>
      <c r="AD93" s="234"/>
      <c r="AQ93" s="235"/>
      <c r="AR93" s="144"/>
      <c r="AS93" s="243"/>
    </row>
    <row r="94" spans="1:45" ht="15" hidden="1" customHeight="1">
      <c r="E94" s="230"/>
      <c r="F94" s="230"/>
      <c r="G94" s="230"/>
      <c r="H94" s="230"/>
      <c r="I94" s="230"/>
      <c r="J94" s="231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3"/>
      <c r="X94" s="233"/>
      <c r="Y94" s="233"/>
      <c r="Z94" s="233"/>
      <c r="AA94" s="234"/>
      <c r="AB94" s="234"/>
      <c r="AC94" s="234"/>
      <c r="AD94" s="234"/>
      <c r="AQ94" s="235"/>
      <c r="AR94" s="701"/>
      <c r="AS94" s="701"/>
    </row>
    <row r="95" spans="1:45" ht="15" hidden="1" customHeight="1">
      <c r="E95" s="230"/>
      <c r="F95" s="230"/>
      <c r="G95" s="230"/>
      <c r="H95" s="230"/>
      <c r="I95" s="230"/>
      <c r="J95" s="231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3"/>
      <c r="X95" s="233"/>
      <c r="Y95" s="233"/>
      <c r="Z95" s="233"/>
      <c r="AA95" s="234"/>
      <c r="AB95" s="234"/>
      <c r="AC95" s="234"/>
      <c r="AD95" s="234"/>
      <c r="AQ95" s="235"/>
      <c r="AR95" s="244"/>
    </row>
    <row r="96" spans="1:45" ht="15" hidden="1" customHeight="1">
      <c r="E96" s="230"/>
      <c r="F96" s="230"/>
      <c r="G96" s="230"/>
      <c r="H96" s="230"/>
      <c r="I96" s="230"/>
      <c r="J96" s="231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3"/>
      <c r="X96" s="233"/>
      <c r="Y96" s="233"/>
      <c r="Z96" s="233"/>
      <c r="AA96" s="234"/>
      <c r="AB96" s="234"/>
      <c r="AC96" s="234"/>
      <c r="AD96" s="234"/>
      <c r="AR96" s="244"/>
    </row>
    <row r="97" spans="4:45" ht="15" hidden="1" customHeight="1">
      <c r="D97" s="230"/>
      <c r="E97" s="230"/>
      <c r="F97" s="230"/>
      <c r="G97" s="230"/>
      <c r="H97" s="230"/>
      <c r="I97" s="230"/>
      <c r="J97" s="231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3"/>
      <c r="X97" s="233"/>
      <c r="Y97" s="233"/>
      <c r="Z97" s="233"/>
      <c r="AA97" s="234"/>
      <c r="AB97" s="234"/>
      <c r="AC97" s="234"/>
      <c r="AD97" s="234"/>
      <c r="AR97" s="244"/>
    </row>
    <row r="98" spans="4:45" ht="15" hidden="1" customHeight="1">
      <c r="D98" s="230"/>
      <c r="E98" s="230"/>
      <c r="F98" s="230"/>
      <c r="G98" s="230"/>
      <c r="H98" s="230"/>
      <c r="I98" s="230"/>
      <c r="J98" s="231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3"/>
      <c r="X98" s="233"/>
      <c r="Y98" s="233"/>
      <c r="Z98" s="233"/>
      <c r="AA98" s="234"/>
      <c r="AB98" s="234"/>
      <c r="AC98" s="234"/>
      <c r="AD98" s="234"/>
      <c r="AR98" s="245"/>
    </row>
    <row r="99" spans="4:45" ht="5.0999999999999996" hidden="1" customHeight="1">
      <c r="D99" s="230"/>
      <c r="E99" s="230"/>
      <c r="F99" s="230"/>
      <c r="G99" s="230"/>
      <c r="H99" s="230"/>
      <c r="I99" s="230"/>
      <c r="J99" s="231"/>
      <c r="K99" s="232"/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3"/>
      <c r="X99" s="233"/>
      <c r="Y99" s="233"/>
      <c r="Z99" s="233"/>
      <c r="AA99" s="234"/>
      <c r="AB99" s="234"/>
      <c r="AC99" s="234"/>
      <c r="AD99" s="234"/>
      <c r="AR99" s="144"/>
      <c r="AS99" s="246"/>
    </row>
    <row r="100" spans="4:45" ht="5.0999999999999996" hidden="1" customHeight="1">
      <c r="D100" s="230"/>
      <c r="E100" s="230"/>
      <c r="F100" s="230"/>
      <c r="G100" s="230"/>
      <c r="H100" s="230"/>
      <c r="I100" s="230"/>
      <c r="J100" s="231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3"/>
      <c r="X100" s="233"/>
      <c r="Y100" s="233"/>
      <c r="Z100" s="233"/>
      <c r="AA100" s="234"/>
      <c r="AB100" s="234"/>
      <c r="AC100" s="234"/>
      <c r="AD100" s="234"/>
      <c r="AR100" s="144"/>
      <c r="AS100" s="246"/>
    </row>
    <row r="101" spans="4:45" ht="15" hidden="1" customHeight="1">
      <c r="D101" s="230"/>
      <c r="E101" s="230"/>
      <c r="F101" s="230"/>
      <c r="G101" s="230"/>
      <c r="H101" s="230"/>
      <c r="I101" s="230"/>
      <c r="J101" s="231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3"/>
      <c r="X101" s="233"/>
      <c r="Y101" s="233"/>
      <c r="Z101" s="233"/>
      <c r="AA101" s="234"/>
      <c r="AB101" s="234"/>
      <c r="AC101" s="234"/>
      <c r="AD101" s="234"/>
      <c r="AR101" s="701"/>
      <c r="AS101" s="701"/>
    </row>
    <row r="102" spans="4:45" ht="15" hidden="1" customHeight="1">
      <c r="D102" s="230"/>
      <c r="E102" s="230"/>
      <c r="F102" s="230"/>
      <c r="G102" s="230"/>
      <c r="H102" s="230"/>
      <c r="I102" s="230"/>
      <c r="J102" s="231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3"/>
      <c r="X102" s="233"/>
      <c r="Y102" s="233"/>
      <c r="Z102" s="233"/>
      <c r="AA102" s="234"/>
      <c r="AB102" s="234"/>
      <c r="AC102" s="234"/>
      <c r="AD102" s="234"/>
      <c r="AR102" s="244"/>
    </row>
    <row r="103" spans="4:45" ht="15" hidden="1" customHeight="1">
      <c r="D103" s="230"/>
      <c r="E103" s="230"/>
      <c r="F103" s="230"/>
      <c r="G103" s="230"/>
      <c r="H103" s="230"/>
      <c r="I103" s="230"/>
      <c r="J103" s="231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3"/>
      <c r="X103" s="233"/>
      <c r="Y103" s="233"/>
      <c r="Z103" s="233"/>
      <c r="AA103" s="234"/>
      <c r="AB103" s="234"/>
      <c r="AC103" s="234"/>
      <c r="AD103" s="234"/>
      <c r="AR103" s="244"/>
    </row>
    <row r="104" spans="4:45" ht="15" hidden="1" customHeight="1">
      <c r="D104" s="230"/>
      <c r="E104" s="230"/>
      <c r="F104" s="230"/>
      <c r="G104" s="230"/>
      <c r="H104" s="230"/>
      <c r="I104" s="230"/>
      <c r="J104" s="231"/>
      <c r="K104" s="232"/>
      <c r="L104" s="232"/>
      <c r="M104" s="232"/>
      <c r="N104" s="232"/>
      <c r="O104" s="232"/>
      <c r="P104" s="232"/>
      <c r="Q104" s="232"/>
      <c r="R104" s="232"/>
      <c r="S104" s="232"/>
      <c r="T104" s="232"/>
      <c r="U104" s="232"/>
      <c r="V104" s="232"/>
      <c r="W104" s="233"/>
      <c r="X104" s="233"/>
      <c r="Y104" s="233"/>
      <c r="Z104" s="233"/>
      <c r="AA104" s="234"/>
      <c r="AB104" s="234"/>
      <c r="AC104" s="234"/>
      <c r="AD104" s="234"/>
      <c r="AR104" s="244"/>
    </row>
    <row r="105" spans="4:45" ht="15" hidden="1" customHeight="1">
      <c r="D105" s="230"/>
      <c r="E105" s="230"/>
      <c r="F105" s="230"/>
      <c r="G105" s="230"/>
      <c r="H105" s="230"/>
      <c r="I105" s="230"/>
      <c r="J105" s="231"/>
      <c r="K105" s="232"/>
      <c r="L105" s="232"/>
      <c r="M105" s="232"/>
      <c r="N105" s="232"/>
      <c r="O105" s="232"/>
      <c r="P105" s="232"/>
      <c r="Q105" s="232"/>
      <c r="R105" s="232"/>
      <c r="S105" s="232"/>
      <c r="T105" s="232"/>
      <c r="U105" s="232"/>
      <c r="V105" s="232"/>
      <c r="W105" s="233"/>
      <c r="X105" s="233"/>
      <c r="Y105" s="233"/>
      <c r="Z105" s="233"/>
      <c r="AA105" s="234"/>
      <c r="AB105" s="234"/>
      <c r="AC105" s="234"/>
      <c r="AD105" s="234"/>
      <c r="AR105" s="244"/>
    </row>
    <row r="106" spans="4:45" ht="15" hidden="1" customHeight="1">
      <c r="D106" s="230"/>
      <c r="E106" s="230"/>
      <c r="F106" s="230"/>
      <c r="G106" s="230"/>
      <c r="H106" s="230"/>
      <c r="I106" s="230"/>
      <c r="J106" s="231"/>
      <c r="K106" s="232"/>
      <c r="L106" s="232"/>
      <c r="M106" s="232"/>
      <c r="N106" s="232"/>
      <c r="O106" s="232"/>
      <c r="P106" s="232"/>
      <c r="Q106" s="232"/>
      <c r="R106" s="232"/>
      <c r="S106" s="232"/>
      <c r="T106" s="232"/>
      <c r="U106" s="232"/>
      <c r="V106" s="232"/>
      <c r="W106" s="233"/>
      <c r="X106" s="233"/>
      <c r="Y106" s="233"/>
      <c r="Z106" s="233"/>
      <c r="AA106" s="234"/>
      <c r="AB106" s="234"/>
      <c r="AC106" s="234"/>
      <c r="AD106" s="234"/>
      <c r="AR106" s="244"/>
    </row>
    <row r="107" spans="4:45" ht="15" hidden="1" customHeight="1">
      <c r="D107" s="230"/>
      <c r="E107" s="230"/>
      <c r="F107" s="230"/>
      <c r="G107" s="230"/>
      <c r="H107" s="230"/>
      <c r="I107" s="230"/>
      <c r="J107" s="231"/>
      <c r="K107" s="232"/>
      <c r="L107" s="232"/>
      <c r="M107" s="232"/>
      <c r="N107" s="232"/>
      <c r="O107" s="232"/>
      <c r="P107" s="232"/>
      <c r="Q107" s="232"/>
      <c r="R107" s="232"/>
      <c r="S107" s="232"/>
      <c r="T107" s="232"/>
      <c r="U107" s="232"/>
      <c r="V107" s="232"/>
      <c r="W107" s="233"/>
      <c r="X107" s="233"/>
      <c r="Y107" s="233"/>
      <c r="Z107" s="233"/>
      <c r="AA107" s="234"/>
      <c r="AB107" s="234"/>
      <c r="AC107" s="234"/>
      <c r="AD107" s="234"/>
      <c r="AR107" s="244"/>
    </row>
    <row r="108" spans="4:45" ht="15" hidden="1" customHeight="1">
      <c r="D108" s="230"/>
      <c r="E108" s="230"/>
      <c r="F108" s="230"/>
      <c r="G108" s="230"/>
      <c r="H108" s="230"/>
      <c r="I108" s="230"/>
      <c r="J108" s="231"/>
      <c r="K108" s="232"/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3"/>
      <c r="X108" s="233"/>
      <c r="Y108" s="233"/>
      <c r="Z108" s="233"/>
      <c r="AA108" s="234"/>
      <c r="AB108" s="234"/>
      <c r="AC108" s="234"/>
      <c r="AD108" s="234"/>
      <c r="AR108" s="244"/>
    </row>
    <row r="109" spans="4:45" ht="5.0999999999999996" hidden="1" customHeight="1">
      <c r="D109" s="230"/>
      <c r="E109" s="230"/>
      <c r="F109" s="230"/>
      <c r="G109" s="230"/>
      <c r="H109" s="230"/>
      <c r="I109" s="230"/>
      <c r="J109" s="231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3"/>
      <c r="X109" s="233"/>
      <c r="Y109" s="233"/>
      <c r="Z109" s="233"/>
      <c r="AA109" s="234"/>
      <c r="AB109" s="234"/>
      <c r="AC109" s="234"/>
      <c r="AD109" s="234"/>
      <c r="AQ109">
        <v>10</v>
      </c>
      <c r="AR109" s="144"/>
      <c r="AS109" s="247"/>
    </row>
    <row r="110" spans="4:45" ht="4.5" hidden="1" customHeight="1">
      <c r="D110" s="230"/>
      <c r="E110" s="230"/>
      <c r="F110" s="230"/>
      <c r="G110" s="230"/>
      <c r="H110" s="230"/>
      <c r="I110" s="230"/>
      <c r="J110" s="231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3"/>
      <c r="X110" s="233"/>
      <c r="Y110" s="233"/>
      <c r="Z110" s="233"/>
      <c r="AA110" s="234"/>
      <c r="AB110" s="234"/>
      <c r="AC110" s="234"/>
      <c r="AD110" s="234"/>
      <c r="AR110" s="144"/>
      <c r="AS110" s="247"/>
    </row>
    <row r="111" spans="4:45" ht="15" hidden="1" customHeight="1">
      <c r="D111" s="230"/>
      <c r="E111" s="230"/>
      <c r="F111" s="230"/>
      <c r="G111" s="230"/>
      <c r="H111" s="230"/>
      <c r="I111" s="230"/>
      <c r="J111" s="231"/>
      <c r="K111" s="232"/>
      <c r="L111" s="232"/>
      <c r="M111" s="232"/>
      <c r="N111" s="232"/>
      <c r="O111" s="232"/>
      <c r="P111" s="232"/>
      <c r="Q111" s="232"/>
      <c r="R111" s="232"/>
      <c r="S111" s="232"/>
      <c r="T111" s="232"/>
      <c r="U111" s="232"/>
      <c r="V111" s="232"/>
      <c r="W111" s="233"/>
      <c r="X111" s="233"/>
      <c r="Y111" s="233"/>
      <c r="Z111" s="233"/>
      <c r="AA111" s="234"/>
      <c r="AB111" s="234"/>
      <c r="AC111" s="234"/>
      <c r="AD111" s="234"/>
      <c r="AR111" s="701"/>
      <c r="AS111" s="701"/>
    </row>
    <row r="112" spans="4:45" ht="2.25" hidden="1" customHeight="1">
      <c r="D112" s="230"/>
      <c r="E112" s="230"/>
      <c r="F112" s="230"/>
      <c r="G112" s="230"/>
      <c r="H112" s="230"/>
      <c r="I112" s="230"/>
      <c r="J112" s="231"/>
      <c r="K112" s="232"/>
      <c r="L112" s="232"/>
      <c r="M112" s="232"/>
      <c r="N112" s="232"/>
      <c r="O112" s="232"/>
      <c r="P112" s="232"/>
      <c r="Q112" s="232"/>
      <c r="R112" s="232"/>
      <c r="S112" s="232"/>
      <c r="T112" s="232"/>
      <c r="U112" s="232"/>
      <c r="V112" s="232"/>
      <c r="W112" s="233"/>
      <c r="X112" s="233"/>
      <c r="Y112" s="233"/>
      <c r="Z112" s="233"/>
      <c r="AA112" s="234"/>
      <c r="AB112" s="234"/>
      <c r="AC112" s="234"/>
      <c r="AD112" s="234"/>
      <c r="AR112" s="248"/>
      <c r="AS112" s="249"/>
    </row>
    <row r="113" spans="4:45" ht="15" hidden="1" customHeight="1">
      <c r="D113" s="230"/>
      <c r="E113" s="230"/>
      <c r="F113" s="230"/>
      <c r="G113" s="230"/>
      <c r="H113" s="230"/>
      <c r="I113" s="230"/>
      <c r="J113" s="231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3"/>
      <c r="X113" s="233"/>
      <c r="Y113" s="233"/>
      <c r="Z113" s="233"/>
      <c r="AA113" s="234"/>
      <c r="AB113" s="234"/>
      <c r="AC113" s="234"/>
      <c r="AD113" s="234"/>
      <c r="AR113" s="250"/>
    </row>
    <row r="114" spans="4:45" ht="15" hidden="1" customHeight="1">
      <c r="D114" s="230"/>
      <c r="E114" s="230"/>
      <c r="F114" s="230"/>
      <c r="G114" s="230"/>
      <c r="H114" s="230"/>
      <c r="I114" s="230"/>
      <c r="J114" s="231"/>
      <c r="K114" s="232"/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3"/>
      <c r="X114" s="233"/>
      <c r="Y114" s="233"/>
      <c r="Z114" s="233"/>
      <c r="AA114" s="234"/>
      <c r="AB114" s="234"/>
      <c r="AC114" s="234"/>
      <c r="AD114" s="234"/>
      <c r="AR114" s="250"/>
    </row>
    <row r="115" spans="4:45" ht="15" hidden="1" customHeight="1">
      <c r="D115" s="230"/>
      <c r="E115" s="230"/>
      <c r="F115" s="230"/>
      <c r="G115" s="230"/>
      <c r="H115" s="230"/>
      <c r="I115" s="230"/>
      <c r="J115" s="231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3"/>
      <c r="X115" s="233"/>
      <c r="Y115" s="233"/>
      <c r="Z115" s="233"/>
      <c r="AA115" s="234"/>
      <c r="AB115" s="234"/>
      <c r="AC115" s="234"/>
      <c r="AD115" s="234"/>
      <c r="AR115" s="244"/>
    </row>
    <row r="116" spans="4:45" ht="5.0999999999999996" hidden="1" customHeight="1">
      <c r="D116" s="230"/>
      <c r="E116" s="230"/>
      <c r="F116" s="230"/>
      <c r="G116" s="230"/>
      <c r="H116" s="230"/>
      <c r="I116" s="230"/>
      <c r="J116" s="231"/>
      <c r="K116" s="232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3"/>
      <c r="X116" s="233"/>
      <c r="Y116" s="233"/>
      <c r="Z116" s="233"/>
      <c r="AA116" s="234"/>
      <c r="AB116" s="234"/>
      <c r="AC116" s="234"/>
      <c r="AD116" s="234"/>
      <c r="AR116" s="144"/>
      <c r="AS116" s="246"/>
    </row>
    <row r="117" spans="4:45" ht="5.0999999999999996" hidden="1" customHeight="1">
      <c r="D117" s="230"/>
      <c r="E117" s="230"/>
      <c r="F117" s="230"/>
      <c r="G117" s="230"/>
      <c r="H117" s="230"/>
      <c r="I117" s="230"/>
      <c r="J117" s="231"/>
      <c r="K117" s="232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  <c r="W117" s="233"/>
      <c r="X117" s="233"/>
      <c r="Y117" s="233"/>
      <c r="Z117" s="233"/>
      <c r="AA117" s="234"/>
      <c r="AB117" s="234"/>
      <c r="AC117" s="234"/>
      <c r="AD117" s="234"/>
      <c r="AR117" s="144"/>
      <c r="AS117" s="246"/>
    </row>
    <row r="118" spans="4:45" ht="15" hidden="1" customHeight="1">
      <c r="D118" s="230"/>
      <c r="E118" s="230"/>
      <c r="F118" s="230"/>
      <c r="G118" s="230"/>
      <c r="H118" s="230"/>
      <c r="I118" s="230"/>
      <c r="J118" s="231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3"/>
      <c r="X118" s="233"/>
      <c r="Y118" s="233"/>
      <c r="Z118" s="233"/>
      <c r="AA118" s="234"/>
      <c r="AB118" s="234"/>
      <c r="AC118" s="234"/>
      <c r="AD118" s="234"/>
      <c r="AR118" s="701"/>
      <c r="AS118" s="701"/>
    </row>
    <row r="119" spans="4:45" ht="15" hidden="1" customHeight="1">
      <c r="D119" s="230"/>
      <c r="E119" s="230"/>
      <c r="F119" s="230"/>
      <c r="G119" s="230"/>
      <c r="H119" s="230"/>
      <c r="I119" s="230"/>
      <c r="J119" s="231"/>
      <c r="K119" s="232"/>
      <c r="L119" s="232"/>
      <c r="M119" s="232"/>
      <c r="N119" s="232"/>
      <c r="O119" s="232"/>
      <c r="P119" s="232"/>
      <c r="Q119" s="232"/>
      <c r="R119" s="232"/>
      <c r="S119" s="232"/>
      <c r="T119" s="232"/>
      <c r="U119" s="232"/>
      <c r="V119" s="232"/>
      <c r="W119" s="233"/>
      <c r="X119" s="233"/>
      <c r="Y119" s="233"/>
      <c r="Z119" s="233"/>
      <c r="AA119" s="234"/>
      <c r="AB119" s="234"/>
      <c r="AC119" s="234"/>
      <c r="AD119" s="234"/>
      <c r="AR119" s="248"/>
      <c r="AS119" s="251"/>
    </row>
    <row r="120" spans="4:45" ht="15" hidden="1" customHeight="1">
      <c r="D120" s="230"/>
      <c r="E120" s="230"/>
      <c r="F120" s="230"/>
      <c r="G120" s="230"/>
      <c r="H120" s="230"/>
      <c r="I120" s="230"/>
      <c r="J120" s="231"/>
      <c r="K120" s="232"/>
      <c r="L120" s="232"/>
      <c r="M120" s="232"/>
      <c r="N120" s="232"/>
      <c r="O120" s="232"/>
      <c r="P120" s="232"/>
      <c r="Q120" s="232"/>
      <c r="R120" s="232"/>
      <c r="S120" s="232"/>
      <c r="T120" s="232"/>
      <c r="U120" s="232"/>
      <c r="V120" s="232"/>
      <c r="W120" s="233"/>
      <c r="X120" s="233"/>
      <c r="Y120" s="233"/>
      <c r="Z120" s="233"/>
      <c r="AA120" s="234"/>
      <c r="AB120" s="234"/>
      <c r="AC120" s="234"/>
      <c r="AD120" s="234"/>
      <c r="AR120" s="250"/>
    </row>
    <row r="121" spans="4:45" ht="15" hidden="1" customHeight="1">
      <c r="D121" s="230"/>
      <c r="E121" s="230"/>
      <c r="F121" s="230"/>
      <c r="G121" s="230"/>
      <c r="H121" s="230"/>
      <c r="I121" s="230"/>
      <c r="J121" s="231"/>
      <c r="K121" s="232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3"/>
      <c r="X121" s="233"/>
      <c r="Y121" s="233"/>
      <c r="Z121" s="233"/>
      <c r="AA121" s="234"/>
      <c r="AB121" s="234"/>
      <c r="AC121" s="234"/>
      <c r="AD121" s="234"/>
      <c r="AR121" s="250"/>
    </row>
    <row r="122" spans="4:45" ht="15" hidden="1" customHeight="1">
      <c r="D122" s="230"/>
      <c r="E122" s="230"/>
      <c r="F122" s="230"/>
      <c r="G122" s="230"/>
      <c r="H122" s="230"/>
      <c r="I122" s="230"/>
      <c r="J122" s="231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3"/>
      <c r="X122" s="233"/>
      <c r="Y122" s="233"/>
      <c r="Z122" s="233"/>
      <c r="AA122" s="234"/>
      <c r="AB122" s="234"/>
      <c r="AC122" s="234"/>
      <c r="AD122" s="234"/>
      <c r="AR122" s="244"/>
    </row>
    <row r="123" spans="4:45" ht="5.0999999999999996" hidden="1" customHeight="1">
      <c r="D123" s="230"/>
      <c r="E123" s="230"/>
      <c r="F123" s="230"/>
      <c r="G123" s="230"/>
      <c r="H123" s="230"/>
      <c r="I123" s="230"/>
      <c r="J123" s="231"/>
      <c r="K123" s="232"/>
      <c r="L123" s="232"/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33"/>
      <c r="X123" s="233"/>
      <c r="Y123" s="233"/>
      <c r="Z123" s="233"/>
      <c r="AA123" s="234"/>
      <c r="AB123" s="234"/>
      <c r="AC123" s="234"/>
      <c r="AD123" s="234"/>
      <c r="AR123" s="144"/>
      <c r="AS123" s="246"/>
    </row>
    <row r="124" spans="4:45" ht="5.0999999999999996" hidden="1" customHeight="1">
      <c r="D124" s="230"/>
      <c r="E124" s="230"/>
      <c r="F124" s="230"/>
      <c r="G124" s="230"/>
      <c r="H124" s="230"/>
      <c r="I124" s="230"/>
      <c r="J124" s="231"/>
      <c r="K124" s="232"/>
      <c r="L124" s="232"/>
      <c r="M124" s="232"/>
      <c r="N124" s="232"/>
      <c r="O124" s="232"/>
      <c r="P124" s="232"/>
      <c r="Q124" s="232"/>
      <c r="R124" s="232"/>
      <c r="S124" s="232"/>
      <c r="T124" s="232"/>
      <c r="U124" s="232"/>
      <c r="V124" s="232"/>
      <c r="W124" s="233"/>
      <c r="X124" s="233"/>
      <c r="Y124" s="233"/>
      <c r="Z124" s="233"/>
      <c r="AA124" s="234"/>
      <c r="AB124" s="234"/>
      <c r="AC124" s="234"/>
      <c r="AD124" s="234"/>
      <c r="AR124" s="144"/>
      <c r="AS124" s="246"/>
    </row>
    <row r="125" spans="4:45" ht="15" hidden="1" customHeight="1">
      <c r="D125" s="230"/>
      <c r="E125" s="230"/>
      <c r="F125" s="230"/>
      <c r="G125" s="230"/>
      <c r="H125" s="230"/>
      <c r="I125" s="230"/>
      <c r="J125" s="231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3"/>
      <c r="X125" s="233"/>
      <c r="Y125" s="233"/>
      <c r="Z125" s="233"/>
      <c r="AA125" s="234"/>
      <c r="AB125" s="234"/>
      <c r="AC125" s="234"/>
      <c r="AD125" s="234"/>
      <c r="AR125" s="701"/>
      <c r="AS125" s="701"/>
    </row>
    <row r="126" spans="4:45" ht="15" hidden="1" customHeight="1">
      <c r="D126" s="230"/>
      <c r="E126" s="230"/>
      <c r="F126" s="230"/>
      <c r="G126" s="230"/>
      <c r="H126" s="230"/>
      <c r="I126" s="230"/>
      <c r="J126" s="231"/>
      <c r="K126" s="232"/>
      <c r="L126" s="232"/>
      <c r="M126" s="232"/>
      <c r="N126" s="232"/>
      <c r="O126" s="232"/>
      <c r="P126" s="232"/>
      <c r="Q126" s="232"/>
      <c r="R126" s="232"/>
      <c r="S126" s="232"/>
      <c r="T126" s="232"/>
      <c r="U126" s="232"/>
      <c r="V126" s="232"/>
      <c r="W126" s="233"/>
      <c r="X126" s="233"/>
      <c r="Y126" s="233"/>
      <c r="Z126" s="233"/>
      <c r="AA126" s="234"/>
      <c r="AB126" s="234"/>
      <c r="AC126" s="234"/>
      <c r="AD126" s="234"/>
      <c r="AR126" s="248"/>
      <c r="AS126" s="251"/>
    </row>
    <row r="127" spans="4:45" ht="15" hidden="1" customHeight="1">
      <c r="D127" s="230"/>
      <c r="E127" s="230"/>
      <c r="F127" s="230"/>
      <c r="G127" s="230"/>
      <c r="H127" s="230"/>
      <c r="I127" s="230"/>
      <c r="J127" s="231"/>
      <c r="K127" s="232"/>
      <c r="L127" s="232"/>
      <c r="M127" s="232"/>
      <c r="N127" s="232"/>
      <c r="O127" s="232"/>
      <c r="P127" s="232"/>
      <c r="Q127" s="232"/>
      <c r="R127" s="232"/>
      <c r="S127" s="232"/>
      <c r="T127" s="232"/>
      <c r="U127" s="232"/>
      <c r="V127" s="232"/>
      <c r="W127" s="233"/>
      <c r="X127" s="233"/>
      <c r="Y127" s="233"/>
      <c r="Z127" s="233"/>
      <c r="AA127" s="234"/>
      <c r="AB127" s="234"/>
      <c r="AC127" s="234"/>
      <c r="AD127" s="234"/>
      <c r="AR127" s="250"/>
    </row>
    <row r="128" spans="4:45" ht="15" hidden="1" customHeight="1">
      <c r="D128" s="230"/>
      <c r="E128" s="230"/>
      <c r="F128" s="230"/>
      <c r="G128" s="230"/>
      <c r="H128" s="230"/>
      <c r="I128" s="230"/>
      <c r="J128" s="231"/>
      <c r="K128" s="232"/>
      <c r="L128" s="232"/>
      <c r="M128" s="232"/>
      <c r="N128" s="232"/>
      <c r="O128" s="232"/>
      <c r="P128" s="232"/>
      <c r="Q128" s="232"/>
      <c r="R128" s="232"/>
      <c r="S128" s="232"/>
      <c r="T128" s="232"/>
      <c r="U128" s="232"/>
      <c r="V128" s="232"/>
      <c r="W128" s="233"/>
      <c r="X128" s="233"/>
      <c r="Y128" s="233"/>
      <c r="Z128" s="233"/>
      <c r="AA128" s="234"/>
      <c r="AB128" s="234"/>
      <c r="AC128" s="234"/>
      <c r="AD128" s="234"/>
      <c r="AR128" s="250"/>
    </row>
    <row r="129" spans="4:45" ht="15" hidden="1" customHeight="1">
      <c r="D129" s="230"/>
      <c r="E129" s="230"/>
      <c r="F129" s="230"/>
      <c r="G129" s="230"/>
      <c r="H129" s="230"/>
      <c r="I129" s="230"/>
      <c r="J129" s="231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3"/>
      <c r="X129" s="233"/>
      <c r="Y129" s="233"/>
      <c r="Z129" s="233"/>
      <c r="AA129" s="234"/>
      <c r="AB129" s="234"/>
      <c r="AC129" s="234"/>
      <c r="AD129" s="234"/>
      <c r="AR129" s="244"/>
    </row>
    <row r="130" spans="4:45" ht="5.0999999999999996" hidden="1" customHeight="1">
      <c r="D130" s="230"/>
      <c r="E130" s="230"/>
      <c r="F130" s="230"/>
      <c r="G130" s="230"/>
      <c r="H130" s="230"/>
      <c r="I130" s="230"/>
      <c r="J130" s="231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3"/>
      <c r="X130" s="233"/>
      <c r="Y130" s="233"/>
      <c r="Z130" s="233"/>
      <c r="AA130" s="234"/>
      <c r="AB130" s="234"/>
      <c r="AC130" s="234"/>
      <c r="AD130" s="234"/>
      <c r="AR130" s="144"/>
      <c r="AS130" s="246"/>
    </row>
    <row r="131" spans="4:45" ht="5.0999999999999996" hidden="1" customHeight="1">
      <c r="D131" s="230"/>
      <c r="E131" s="230"/>
      <c r="F131" s="230"/>
      <c r="G131" s="230"/>
      <c r="H131" s="230"/>
      <c r="I131" s="230"/>
      <c r="J131" s="231"/>
      <c r="K131" s="232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3"/>
      <c r="X131" s="233"/>
      <c r="Y131" s="233"/>
      <c r="Z131" s="233"/>
      <c r="AA131" s="234"/>
      <c r="AB131" s="234"/>
      <c r="AC131" s="234"/>
      <c r="AD131" s="234"/>
      <c r="AR131" s="144"/>
      <c r="AS131" s="246"/>
    </row>
    <row r="132" spans="4:45" ht="15" hidden="1" customHeight="1">
      <c r="D132" s="230"/>
      <c r="E132" s="230"/>
      <c r="F132" s="230"/>
      <c r="G132" s="230"/>
      <c r="H132" s="230"/>
      <c r="I132" s="230"/>
      <c r="J132" s="231"/>
      <c r="K132" s="232"/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3"/>
      <c r="X132" s="233"/>
      <c r="Y132" s="233"/>
      <c r="Z132" s="233"/>
      <c r="AA132" s="234"/>
      <c r="AB132" s="234"/>
      <c r="AC132" s="234"/>
      <c r="AD132" s="234"/>
      <c r="AR132" s="701"/>
      <c r="AS132" s="701"/>
    </row>
    <row r="133" spans="4:45" ht="15" hidden="1" customHeight="1">
      <c r="D133" s="230"/>
      <c r="E133" s="230"/>
      <c r="F133" s="230"/>
      <c r="G133" s="230"/>
      <c r="H133" s="230"/>
      <c r="I133" s="230"/>
      <c r="J133" s="231"/>
      <c r="K133" s="232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3"/>
      <c r="X133" s="233"/>
      <c r="Y133" s="233"/>
      <c r="Z133" s="233"/>
      <c r="AA133" s="234"/>
      <c r="AB133" s="234"/>
      <c r="AC133" s="234"/>
      <c r="AD133" s="234"/>
      <c r="AR133" s="248"/>
      <c r="AS133" s="251"/>
    </row>
    <row r="134" spans="4:45" ht="15" hidden="1" customHeight="1">
      <c r="D134" s="230"/>
      <c r="E134" s="230"/>
      <c r="F134" s="230"/>
      <c r="G134" s="230"/>
      <c r="H134" s="230"/>
      <c r="I134" s="230"/>
      <c r="J134" s="231"/>
      <c r="K134" s="232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3"/>
      <c r="X134" s="233"/>
      <c r="Y134" s="233"/>
      <c r="Z134" s="233"/>
      <c r="AA134" s="234"/>
      <c r="AB134" s="234"/>
      <c r="AC134" s="234"/>
      <c r="AD134" s="234"/>
      <c r="AR134" s="250"/>
    </row>
    <row r="135" spans="4:45" ht="15" hidden="1" customHeight="1">
      <c r="D135" s="230"/>
      <c r="E135" s="230"/>
      <c r="F135" s="230"/>
      <c r="G135" s="230"/>
      <c r="H135" s="230"/>
      <c r="I135" s="230"/>
      <c r="J135" s="231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3"/>
      <c r="X135" s="233"/>
      <c r="Y135" s="233"/>
      <c r="Z135" s="233"/>
      <c r="AA135" s="234"/>
      <c r="AB135" s="234"/>
      <c r="AC135" s="234"/>
      <c r="AD135" s="234"/>
      <c r="AR135" s="250"/>
    </row>
    <row r="136" spans="4:45" ht="29.25" hidden="1" customHeight="1">
      <c r="D136" s="230"/>
      <c r="E136" s="230"/>
      <c r="F136" s="230"/>
      <c r="G136" s="230"/>
      <c r="H136" s="230"/>
      <c r="I136" s="230"/>
      <c r="J136" s="231"/>
      <c r="K136" s="232"/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3"/>
      <c r="X136" s="233"/>
      <c r="Y136" s="233"/>
      <c r="Z136" s="233"/>
      <c r="AA136" s="234"/>
      <c r="AB136" s="234"/>
      <c r="AC136" s="234"/>
      <c r="AD136" s="234"/>
      <c r="AR136" s="252"/>
    </row>
    <row r="137" spans="4:45" ht="15" hidden="1" customHeight="1">
      <c r="D137" s="230"/>
      <c r="E137" s="230"/>
      <c r="F137" s="230"/>
      <c r="G137" s="230"/>
      <c r="H137" s="230"/>
      <c r="I137" s="230"/>
      <c r="J137" s="231"/>
      <c r="K137" s="232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3"/>
      <c r="X137" s="233"/>
      <c r="Y137" s="233"/>
      <c r="Z137" s="233"/>
      <c r="AA137" s="234"/>
      <c r="AB137" s="234"/>
      <c r="AC137" s="234"/>
      <c r="AD137" s="234"/>
      <c r="AR137" s="252"/>
    </row>
    <row r="138" spans="4:45" ht="15" hidden="1" customHeight="1">
      <c r="D138" s="230"/>
      <c r="E138" s="230"/>
      <c r="F138" s="230"/>
      <c r="G138" s="230"/>
      <c r="H138" s="230"/>
      <c r="I138" s="230"/>
      <c r="J138" s="231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3"/>
      <c r="X138" s="233"/>
      <c r="Y138" s="233"/>
      <c r="Z138" s="233"/>
      <c r="AA138" s="234"/>
      <c r="AB138" s="234"/>
      <c r="AC138" s="234"/>
      <c r="AD138" s="234"/>
      <c r="AR138" s="252"/>
    </row>
    <row r="139" spans="4:45" ht="5.0999999999999996" hidden="1" customHeight="1">
      <c r="D139" s="230"/>
      <c r="E139" s="230"/>
      <c r="F139" s="230"/>
      <c r="G139" s="230"/>
      <c r="H139" s="230"/>
      <c r="I139" s="230"/>
      <c r="J139" s="231"/>
      <c r="K139" s="232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3"/>
      <c r="X139" s="233"/>
      <c r="Y139" s="233"/>
      <c r="Z139" s="233"/>
      <c r="AA139" s="234"/>
      <c r="AB139" s="234"/>
      <c r="AC139" s="234"/>
      <c r="AD139" s="234"/>
      <c r="AR139" s="144"/>
      <c r="AS139" s="246"/>
    </row>
    <row r="140" spans="4:45" ht="5.0999999999999996" hidden="1" customHeight="1">
      <c r="D140" s="230"/>
      <c r="E140" s="230"/>
      <c r="F140" s="230"/>
      <c r="G140" s="230"/>
      <c r="H140" s="230"/>
      <c r="I140" s="230"/>
      <c r="J140" s="231"/>
      <c r="K140" s="232"/>
      <c r="L140" s="232"/>
      <c r="M140" s="232"/>
      <c r="N140" s="232"/>
      <c r="O140" s="232"/>
      <c r="P140" s="232"/>
      <c r="Q140" s="232"/>
      <c r="R140" s="232"/>
      <c r="S140" s="232"/>
      <c r="T140" s="232"/>
      <c r="U140" s="232"/>
      <c r="V140" s="232"/>
      <c r="W140" s="233"/>
      <c r="X140" s="233"/>
      <c r="Y140" s="233"/>
      <c r="Z140" s="233"/>
      <c r="AA140" s="234"/>
      <c r="AB140" s="234"/>
      <c r="AC140" s="234"/>
      <c r="AD140" s="234"/>
      <c r="AR140" s="144"/>
      <c r="AS140" s="246"/>
    </row>
    <row r="141" spans="4:45" ht="15" hidden="1" customHeight="1">
      <c r="D141" s="230"/>
      <c r="E141" s="230"/>
      <c r="F141" s="230"/>
      <c r="G141" s="230"/>
      <c r="H141" s="230"/>
      <c r="I141" s="230"/>
      <c r="J141" s="231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3"/>
      <c r="X141" s="233"/>
      <c r="Y141" s="233"/>
      <c r="Z141" s="233"/>
      <c r="AA141" s="234"/>
      <c r="AB141" s="234"/>
      <c r="AC141" s="234"/>
      <c r="AD141" s="234"/>
      <c r="AR141" s="701"/>
      <c r="AS141" s="701"/>
    </row>
    <row r="142" spans="4:45" ht="15" hidden="1" customHeight="1">
      <c r="D142" s="230"/>
      <c r="E142" s="230"/>
      <c r="F142" s="230"/>
      <c r="G142" s="230"/>
      <c r="H142" s="230"/>
      <c r="I142" s="230"/>
      <c r="J142" s="231"/>
      <c r="K142" s="232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3"/>
      <c r="X142" s="233"/>
      <c r="Y142" s="233"/>
      <c r="Z142" s="233"/>
      <c r="AA142" s="234"/>
      <c r="AB142" s="234"/>
      <c r="AC142" s="234"/>
      <c r="AD142" s="234"/>
      <c r="AR142" s="244"/>
    </row>
    <row r="143" spans="4:45" ht="15" hidden="1" customHeight="1">
      <c r="D143" s="230"/>
      <c r="E143" s="230"/>
      <c r="F143" s="230"/>
      <c r="G143" s="230"/>
      <c r="H143" s="230"/>
      <c r="I143" s="230"/>
      <c r="J143" s="231"/>
      <c r="K143" s="232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3"/>
      <c r="X143" s="233"/>
      <c r="Y143" s="233"/>
      <c r="Z143" s="233"/>
      <c r="AA143" s="234"/>
      <c r="AB143" s="234"/>
      <c r="AC143" s="234"/>
      <c r="AD143" s="234"/>
      <c r="AR143" s="250"/>
    </row>
    <row r="144" spans="4:45" ht="15" hidden="1" customHeight="1">
      <c r="D144" s="230"/>
      <c r="E144" s="230"/>
      <c r="F144" s="230"/>
      <c r="G144" s="230"/>
      <c r="H144" s="230"/>
      <c r="I144" s="230"/>
      <c r="J144" s="231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3"/>
      <c r="X144" s="233"/>
      <c r="Y144" s="233"/>
      <c r="Z144" s="233"/>
      <c r="AA144" s="234"/>
      <c r="AB144" s="234"/>
      <c r="AC144" s="234"/>
      <c r="AD144" s="234"/>
      <c r="AR144" s="245"/>
    </row>
    <row r="145" spans="4:45" ht="18" hidden="1" customHeight="1">
      <c r="D145" s="230"/>
      <c r="E145" s="230"/>
      <c r="F145" s="230"/>
      <c r="G145" s="230"/>
      <c r="H145" s="230"/>
      <c r="I145" s="230"/>
      <c r="J145" s="231"/>
      <c r="K145" s="232"/>
      <c r="L145" s="232"/>
      <c r="M145" s="232"/>
      <c r="N145" s="232"/>
      <c r="O145" s="232"/>
      <c r="P145" s="232"/>
      <c r="Q145" s="232"/>
      <c r="R145" s="232"/>
      <c r="S145" s="232"/>
      <c r="T145" s="232"/>
      <c r="U145" s="232"/>
      <c r="V145" s="232"/>
      <c r="W145" s="233"/>
      <c r="X145" s="233"/>
      <c r="Y145" s="233"/>
      <c r="Z145" s="233"/>
      <c r="AA145" s="234"/>
      <c r="AB145" s="234"/>
      <c r="AC145" s="234"/>
      <c r="AD145" s="234"/>
      <c r="AR145" s="253"/>
    </row>
    <row r="146" spans="4:45" ht="18" hidden="1" customHeight="1">
      <c r="D146" s="230"/>
      <c r="E146" s="230"/>
      <c r="F146" s="230"/>
      <c r="G146" s="230"/>
      <c r="H146" s="230"/>
      <c r="I146" s="230"/>
      <c r="J146" s="231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3"/>
      <c r="X146" s="233"/>
      <c r="Y146" s="233"/>
      <c r="Z146" s="233"/>
      <c r="AA146" s="234"/>
      <c r="AB146" s="234"/>
      <c r="AC146" s="234"/>
      <c r="AD146" s="234"/>
      <c r="AR146" s="253"/>
    </row>
    <row r="147" spans="4:45" ht="18" hidden="1" customHeight="1">
      <c r="D147" s="230"/>
      <c r="E147" s="230"/>
      <c r="F147" s="230"/>
      <c r="G147" s="230"/>
      <c r="H147" s="230"/>
      <c r="I147" s="230"/>
      <c r="J147" s="231"/>
      <c r="K147" s="232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3"/>
      <c r="X147" s="233"/>
      <c r="Y147" s="233"/>
      <c r="Z147" s="233"/>
      <c r="AA147" s="234"/>
      <c r="AB147" s="234"/>
      <c r="AC147" s="234"/>
      <c r="AD147" s="234"/>
      <c r="AR147" s="253"/>
    </row>
    <row r="148" spans="4:45" ht="18" hidden="1" customHeight="1">
      <c r="D148" s="230"/>
      <c r="E148" s="230"/>
      <c r="F148" s="230"/>
      <c r="G148" s="230"/>
      <c r="H148" s="230"/>
      <c r="I148" s="230"/>
      <c r="J148" s="231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3"/>
      <c r="X148" s="233"/>
      <c r="Y148" s="233"/>
      <c r="Z148" s="233"/>
      <c r="AA148" s="234"/>
      <c r="AB148" s="234"/>
      <c r="AC148" s="234"/>
      <c r="AD148" s="234"/>
      <c r="AR148" s="253"/>
    </row>
    <row r="149" spans="4:45" ht="18" hidden="1" customHeight="1">
      <c r="D149" s="230"/>
      <c r="E149" s="230"/>
      <c r="F149" s="230"/>
      <c r="G149" s="230"/>
      <c r="H149" s="230"/>
      <c r="I149" s="230"/>
      <c r="J149" s="231"/>
      <c r="K149" s="232"/>
      <c r="L149" s="232"/>
      <c r="M149" s="232"/>
      <c r="N149" s="232"/>
      <c r="O149" s="232"/>
      <c r="P149" s="232"/>
      <c r="Q149" s="232"/>
      <c r="R149" s="232"/>
      <c r="S149" s="232"/>
      <c r="T149" s="232"/>
      <c r="U149" s="232"/>
      <c r="V149" s="232"/>
      <c r="W149" s="233"/>
      <c r="X149" s="233"/>
      <c r="Y149" s="233"/>
      <c r="Z149" s="233"/>
      <c r="AA149" s="234"/>
      <c r="AB149" s="234"/>
      <c r="AC149" s="234"/>
      <c r="AD149" s="234"/>
      <c r="AR149" s="253"/>
    </row>
    <row r="150" spans="4:45" ht="18" hidden="1" customHeight="1">
      <c r="D150" s="230"/>
      <c r="E150" s="230"/>
      <c r="F150" s="230"/>
      <c r="G150" s="230"/>
      <c r="H150" s="230"/>
      <c r="I150" s="230"/>
      <c r="J150" s="231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3"/>
      <c r="X150" s="233"/>
      <c r="Y150" s="233"/>
      <c r="Z150" s="233"/>
      <c r="AA150" s="234"/>
      <c r="AB150" s="234"/>
      <c r="AC150" s="234"/>
      <c r="AD150" s="234"/>
      <c r="AR150" s="254"/>
    </row>
    <row r="151" spans="4:45" ht="5.0999999999999996" hidden="1" customHeight="1">
      <c r="D151" s="230"/>
      <c r="E151" s="230"/>
      <c r="F151" s="230"/>
      <c r="G151" s="230"/>
      <c r="H151" s="230"/>
      <c r="I151" s="230"/>
      <c r="J151" s="231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3"/>
      <c r="X151" s="233"/>
      <c r="Y151" s="233"/>
      <c r="Z151" s="233"/>
      <c r="AA151" s="234"/>
      <c r="AB151" s="234"/>
      <c r="AC151" s="234"/>
      <c r="AD151" s="234"/>
      <c r="AR151" s="255"/>
      <c r="AS151" s="256"/>
    </row>
    <row r="152" spans="4:45" ht="5.0999999999999996" hidden="1" customHeight="1">
      <c r="D152" s="230"/>
      <c r="E152" s="230"/>
      <c r="F152" s="230"/>
      <c r="G152" s="230"/>
      <c r="H152" s="230"/>
      <c r="I152" s="230"/>
      <c r="J152" s="231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3"/>
      <c r="X152" s="233"/>
      <c r="Y152" s="233"/>
      <c r="Z152" s="233"/>
      <c r="AA152" s="234"/>
      <c r="AB152" s="234"/>
      <c r="AC152" s="234"/>
      <c r="AD152" s="234"/>
      <c r="AR152" s="255"/>
      <c r="AS152" s="256"/>
    </row>
    <row r="153" spans="4:45" ht="15" hidden="1" customHeight="1">
      <c r="D153" s="230"/>
      <c r="E153" s="230"/>
      <c r="F153" s="230"/>
      <c r="G153" s="230"/>
      <c r="H153" s="230"/>
      <c r="I153" s="230"/>
      <c r="J153" s="231"/>
      <c r="K153" s="232"/>
      <c r="L153" s="232"/>
      <c r="M153" s="232"/>
      <c r="N153" s="232"/>
      <c r="O153" s="232"/>
      <c r="P153" s="232"/>
      <c r="Q153" s="232"/>
      <c r="R153" s="232"/>
      <c r="S153" s="232"/>
      <c r="T153" s="232"/>
      <c r="U153" s="232"/>
      <c r="V153" s="232"/>
      <c r="W153" s="233"/>
      <c r="X153" s="233"/>
      <c r="Y153" s="233"/>
      <c r="Z153" s="233"/>
      <c r="AA153" s="234"/>
      <c r="AB153" s="234"/>
      <c r="AC153" s="234"/>
      <c r="AD153" s="234"/>
      <c r="AR153" s="701"/>
      <c r="AS153" s="701"/>
    </row>
    <row r="154" spans="4:45" ht="15" hidden="1" customHeight="1">
      <c r="D154" s="230"/>
      <c r="E154" s="230"/>
      <c r="F154" s="230"/>
      <c r="G154" s="230"/>
      <c r="H154" s="230"/>
      <c r="I154" s="230"/>
      <c r="J154" s="231"/>
      <c r="K154" s="232"/>
      <c r="L154" s="232"/>
      <c r="M154" s="232"/>
      <c r="N154" s="232"/>
      <c r="O154" s="232"/>
      <c r="P154" s="232"/>
      <c r="Q154" s="232"/>
      <c r="R154" s="232"/>
      <c r="S154" s="232"/>
      <c r="T154" s="232"/>
      <c r="U154" s="232"/>
      <c r="V154" s="232"/>
      <c r="W154" s="233"/>
      <c r="X154" s="233"/>
      <c r="Y154" s="233"/>
      <c r="Z154" s="233"/>
      <c r="AA154" s="234"/>
      <c r="AB154" s="234"/>
      <c r="AC154" s="234"/>
      <c r="AD154" s="234"/>
      <c r="AR154" s="257"/>
    </row>
    <row r="155" spans="4:45" hidden="1">
      <c r="D155" s="230"/>
      <c r="E155" s="230"/>
      <c r="F155" s="230"/>
      <c r="G155" s="230"/>
      <c r="H155" s="230"/>
      <c r="I155" s="230"/>
      <c r="J155" s="231"/>
      <c r="K155" s="232"/>
      <c r="L155" s="232"/>
      <c r="M155" s="232"/>
      <c r="N155" s="232"/>
      <c r="O155" s="232"/>
      <c r="P155" s="232"/>
      <c r="Q155" s="232"/>
      <c r="R155" s="232"/>
      <c r="S155" s="232"/>
      <c r="T155" s="232"/>
      <c r="U155" s="232"/>
      <c r="V155" s="232"/>
      <c r="W155" s="233"/>
      <c r="X155" s="233"/>
      <c r="Y155" s="233"/>
      <c r="Z155" s="233"/>
      <c r="AR155" s="257"/>
    </row>
    <row r="156" spans="4:45" ht="5.0999999999999996" hidden="1" customHeight="1">
      <c r="D156" s="230"/>
      <c r="E156" s="230"/>
      <c r="F156" s="230"/>
      <c r="G156" s="230"/>
      <c r="H156" s="230"/>
      <c r="I156" s="230"/>
      <c r="J156" s="231"/>
      <c r="K156" s="232"/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3"/>
      <c r="X156" s="233"/>
      <c r="Y156" s="233"/>
      <c r="Z156" s="233"/>
      <c r="AR156" s="255"/>
      <c r="AS156" s="256"/>
    </row>
    <row r="157" spans="4:45" ht="5.0999999999999996" hidden="1" customHeight="1">
      <c r="D157" s="230"/>
      <c r="E157" s="230"/>
      <c r="F157" s="230"/>
      <c r="G157" s="230"/>
      <c r="H157" s="230"/>
      <c r="I157" s="230"/>
      <c r="J157" s="231"/>
      <c r="K157" s="232"/>
      <c r="L157" s="232"/>
      <c r="M157" s="232"/>
      <c r="N157" s="232"/>
      <c r="O157" s="232"/>
      <c r="P157" s="232"/>
      <c r="Q157" s="232"/>
      <c r="R157" s="232"/>
      <c r="S157" s="232"/>
      <c r="T157" s="232"/>
      <c r="U157" s="232"/>
      <c r="V157" s="232"/>
      <c r="W157" s="233"/>
      <c r="X157" s="233"/>
      <c r="Y157" s="233"/>
      <c r="Z157" s="233"/>
      <c r="AR157" s="255"/>
      <c r="AS157" s="256"/>
    </row>
    <row r="158" spans="4:45" ht="15" hidden="1" customHeight="1">
      <c r="D158" s="230"/>
      <c r="E158" s="230"/>
      <c r="F158" s="230"/>
      <c r="G158" s="230"/>
      <c r="H158" s="230"/>
      <c r="I158" s="230"/>
      <c r="J158" s="231"/>
      <c r="K158" s="232"/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3"/>
      <c r="X158" s="233"/>
      <c r="Y158" s="233"/>
      <c r="Z158" s="233"/>
      <c r="AR158" s="701"/>
      <c r="AS158" s="701"/>
    </row>
    <row r="159" spans="4:45" ht="15" hidden="1" customHeight="1">
      <c r="D159" s="230"/>
      <c r="E159" s="230"/>
      <c r="F159" s="230"/>
      <c r="G159" s="230"/>
      <c r="H159" s="230"/>
      <c r="I159" s="230"/>
      <c r="J159" s="231"/>
      <c r="K159" s="232"/>
      <c r="L159" s="232"/>
      <c r="M159" s="232"/>
      <c r="N159" s="232"/>
      <c r="O159" s="232"/>
      <c r="P159" s="232"/>
      <c r="Q159" s="232"/>
      <c r="R159" s="232"/>
      <c r="S159" s="232"/>
      <c r="T159" s="232"/>
      <c r="U159" s="232"/>
      <c r="V159" s="232"/>
      <c r="W159" s="233"/>
      <c r="X159" s="233"/>
      <c r="Y159" s="233"/>
      <c r="Z159" s="233"/>
      <c r="AR159" s="257"/>
    </row>
    <row r="160" spans="4:45" ht="15" hidden="1" customHeight="1">
      <c r="D160" s="230"/>
      <c r="E160" s="230"/>
      <c r="F160" s="230"/>
      <c r="G160" s="230"/>
      <c r="H160" s="230"/>
      <c r="I160" s="230"/>
      <c r="J160" s="231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32"/>
      <c r="V160" s="232"/>
      <c r="W160" s="233"/>
      <c r="X160" s="233"/>
      <c r="Y160" s="233"/>
      <c r="Z160" s="233"/>
      <c r="AR160" s="257"/>
    </row>
    <row r="161" spans="4:45" ht="15" hidden="1" customHeight="1">
      <c r="D161" s="230"/>
      <c r="E161" s="230"/>
      <c r="F161" s="230"/>
      <c r="G161" s="230"/>
      <c r="H161" s="230"/>
      <c r="I161" s="230"/>
      <c r="J161" s="231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3"/>
      <c r="X161" s="233"/>
      <c r="Y161" s="233"/>
      <c r="Z161" s="233"/>
      <c r="AR161" s="257"/>
    </row>
    <row r="162" spans="4:45" ht="5.0999999999999996" hidden="1" customHeight="1">
      <c r="D162" s="230"/>
      <c r="E162" s="230"/>
      <c r="F162" s="230"/>
      <c r="G162" s="230"/>
      <c r="H162" s="230"/>
      <c r="I162" s="230"/>
      <c r="J162" s="231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3"/>
      <c r="X162" s="233"/>
      <c r="Y162" s="233"/>
      <c r="Z162" s="233"/>
      <c r="AR162" s="255"/>
      <c r="AS162" s="256"/>
    </row>
    <row r="163" spans="4:45" hidden="1">
      <c r="D163" s="230"/>
      <c r="E163" s="230"/>
      <c r="F163" s="230"/>
      <c r="G163" s="230"/>
      <c r="H163" s="230"/>
      <c r="I163" s="230"/>
      <c r="J163" s="231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3"/>
      <c r="X163" s="233"/>
      <c r="Y163" s="233"/>
      <c r="Z163" s="233"/>
      <c r="AR163" s="701"/>
      <c r="AS163" s="701"/>
    </row>
    <row r="164" spans="4:45" hidden="1">
      <c r="D164" s="230"/>
      <c r="E164" s="230"/>
      <c r="F164" s="230"/>
      <c r="G164" s="230"/>
      <c r="H164" s="230"/>
      <c r="I164" s="230"/>
      <c r="J164" s="231"/>
      <c r="K164" s="232"/>
      <c r="L164" s="232"/>
      <c r="M164" s="232"/>
      <c r="N164" s="232"/>
      <c r="O164" s="232"/>
      <c r="P164" s="232"/>
      <c r="Q164" s="232"/>
      <c r="R164" s="232"/>
      <c r="S164" s="232"/>
      <c r="T164" s="232"/>
      <c r="U164" s="232"/>
      <c r="V164" s="232"/>
      <c r="W164" s="233"/>
      <c r="X164" s="233"/>
      <c r="Y164" s="233"/>
      <c r="Z164" s="233"/>
      <c r="AQ164" s="236"/>
      <c r="AR164" s="244"/>
    </row>
    <row r="165" spans="4:45" hidden="1">
      <c r="D165" s="230"/>
      <c r="E165" s="230"/>
      <c r="F165" s="230"/>
      <c r="G165" s="230"/>
      <c r="H165" s="230"/>
      <c r="I165" s="230"/>
      <c r="J165" s="231"/>
      <c r="K165" s="232"/>
      <c r="L165" s="232"/>
      <c r="M165" s="232"/>
      <c r="N165" s="232"/>
      <c r="O165" s="232"/>
      <c r="P165" s="232"/>
      <c r="Q165" s="232"/>
      <c r="R165" s="232"/>
      <c r="S165" s="232"/>
      <c r="T165" s="232"/>
      <c r="U165" s="232"/>
      <c r="V165" s="232"/>
      <c r="W165" s="233"/>
      <c r="X165" s="233"/>
      <c r="Y165" s="233"/>
      <c r="Z165" s="233"/>
      <c r="AR165" s="244"/>
    </row>
    <row r="166" spans="4:45" ht="5.0999999999999996" hidden="1" customHeight="1">
      <c r="D166" s="230"/>
      <c r="E166" s="230"/>
      <c r="F166" s="230"/>
      <c r="G166" s="230"/>
      <c r="H166" s="230"/>
      <c r="I166" s="230"/>
      <c r="J166" s="231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3"/>
      <c r="X166" s="233"/>
      <c r="Y166" s="233"/>
      <c r="Z166" s="233"/>
      <c r="AR166" s="248"/>
      <c r="AS166" s="251"/>
    </row>
    <row r="167" spans="4:45" ht="5.0999999999999996" hidden="1" customHeight="1">
      <c r="D167" s="230"/>
      <c r="E167" s="230"/>
      <c r="F167" s="230"/>
      <c r="G167" s="230"/>
      <c r="H167" s="230"/>
      <c r="I167" s="230"/>
      <c r="J167" s="231"/>
      <c r="K167" s="232"/>
      <c r="L167" s="232"/>
      <c r="M167" s="232"/>
      <c r="N167" s="232"/>
      <c r="O167" s="232"/>
      <c r="P167" s="232"/>
      <c r="Q167" s="232"/>
      <c r="R167" s="232"/>
      <c r="S167" s="232"/>
      <c r="T167" s="232"/>
      <c r="U167" s="232"/>
      <c r="V167" s="232"/>
      <c r="W167" s="233"/>
      <c r="X167" s="233"/>
      <c r="Y167" s="233"/>
      <c r="Z167" s="233"/>
      <c r="AR167" s="248"/>
      <c r="AS167" s="251"/>
    </row>
    <row r="168" spans="4:45" hidden="1">
      <c r="D168" s="230"/>
      <c r="E168" s="230"/>
      <c r="F168" s="230"/>
      <c r="G168" s="230"/>
      <c r="H168" s="230"/>
      <c r="I168" s="230"/>
      <c r="J168" s="231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3"/>
      <c r="X168" s="233"/>
      <c r="Y168" s="233"/>
      <c r="Z168" s="233"/>
      <c r="AR168" s="701"/>
      <c r="AS168" s="701"/>
    </row>
    <row r="169" spans="4:45" hidden="1">
      <c r="D169" s="230"/>
      <c r="E169" s="230"/>
      <c r="F169" s="230"/>
      <c r="G169" s="230"/>
      <c r="H169" s="230"/>
      <c r="I169" s="230"/>
      <c r="J169" s="231"/>
      <c r="K169" s="232"/>
      <c r="L169" s="232"/>
      <c r="M169" s="232"/>
      <c r="N169" s="232"/>
      <c r="O169" s="232"/>
      <c r="P169" s="232"/>
      <c r="Q169" s="232"/>
      <c r="R169" s="232"/>
      <c r="S169" s="232"/>
      <c r="T169" s="232"/>
      <c r="U169" s="232"/>
      <c r="V169" s="232"/>
      <c r="W169" s="233"/>
      <c r="X169" s="233"/>
      <c r="Y169" s="233"/>
      <c r="Z169" s="233"/>
      <c r="AR169" s="244"/>
    </row>
    <row r="170" spans="4:45" ht="5.0999999999999996" hidden="1" customHeight="1">
      <c r="D170" s="230"/>
      <c r="E170" s="230"/>
      <c r="F170" s="230"/>
      <c r="G170" s="230"/>
      <c r="H170" s="230"/>
      <c r="I170" s="230"/>
      <c r="J170" s="231"/>
      <c r="K170" s="232"/>
      <c r="L170" s="232"/>
      <c r="M170" s="232"/>
      <c r="N170" s="232"/>
      <c r="O170" s="232"/>
      <c r="P170" s="232"/>
      <c r="Q170" s="232"/>
      <c r="R170" s="232"/>
      <c r="S170" s="232"/>
      <c r="T170" s="232"/>
      <c r="U170" s="232"/>
      <c r="V170" s="232"/>
      <c r="W170" s="233"/>
      <c r="X170" s="233"/>
      <c r="Y170" s="233"/>
      <c r="Z170" s="233"/>
      <c r="AR170" s="255"/>
      <c r="AS170" s="256"/>
    </row>
    <row r="171" spans="4:45" ht="5.0999999999999996" hidden="1" customHeight="1">
      <c r="D171" s="230"/>
      <c r="E171" s="230"/>
      <c r="F171" s="230"/>
      <c r="G171" s="230"/>
      <c r="H171" s="230"/>
      <c r="I171" s="230"/>
      <c r="J171" s="231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3"/>
      <c r="X171" s="233"/>
      <c r="Y171" s="233"/>
      <c r="Z171" s="233"/>
      <c r="AR171" s="255"/>
      <c r="AS171" s="256"/>
    </row>
    <row r="172" spans="4:45" ht="15" hidden="1" customHeight="1">
      <c r="D172" s="230"/>
      <c r="E172" s="230"/>
      <c r="F172" s="230"/>
      <c r="G172" s="230"/>
      <c r="H172" s="230"/>
      <c r="I172" s="230"/>
      <c r="J172" s="231"/>
      <c r="K172" s="232"/>
      <c r="L172" s="232"/>
      <c r="M172" s="232"/>
      <c r="N172" s="232"/>
      <c r="O172" s="232"/>
      <c r="P172" s="232"/>
      <c r="Q172" s="232"/>
      <c r="R172" s="232"/>
      <c r="S172" s="232"/>
      <c r="T172" s="232"/>
      <c r="U172" s="232"/>
      <c r="V172" s="232"/>
      <c r="W172" s="233"/>
      <c r="X172" s="233"/>
      <c r="Y172" s="233"/>
      <c r="Z172" s="233"/>
      <c r="AR172" s="701"/>
      <c r="AS172" s="701"/>
    </row>
    <row r="173" spans="4:45" ht="15" hidden="1" customHeight="1">
      <c r="D173" s="230"/>
      <c r="E173" s="230"/>
      <c r="F173" s="230"/>
      <c r="G173" s="230"/>
      <c r="H173" s="230"/>
      <c r="I173" s="230"/>
      <c r="J173" s="231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3"/>
      <c r="X173" s="233"/>
      <c r="Y173" s="233"/>
      <c r="Z173" s="233"/>
      <c r="AR173" s="244"/>
      <c r="AS173" s="144"/>
    </row>
    <row r="174" spans="4:45" ht="15" hidden="1" customHeight="1">
      <c r="D174" s="230"/>
      <c r="E174" s="230"/>
      <c r="F174" s="230"/>
      <c r="G174" s="230"/>
      <c r="H174" s="230"/>
      <c r="I174" s="230"/>
      <c r="J174" s="231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</row>
    <row r="175" spans="4:45" ht="15" hidden="1" customHeight="1">
      <c r="D175" s="230"/>
      <c r="E175" s="230"/>
      <c r="F175" s="230"/>
      <c r="G175" s="230"/>
      <c r="H175" s="230"/>
      <c r="I175" s="230"/>
      <c r="J175" s="231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AR175" s="244"/>
      <c r="AS175" s="258"/>
    </row>
    <row r="176" spans="4:45" ht="15" hidden="1" customHeight="1">
      <c r="D176" s="230"/>
      <c r="E176" s="230"/>
      <c r="F176" s="230"/>
      <c r="G176" s="230"/>
      <c r="H176" s="230"/>
      <c r="I176" s="230"/>
      <c r="J176" s="231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</row>
    <row r="177" spans="2:45" ht="15" hidden="1" customHeight="1">
      <c r="D177" s="230"/>
      <c r="E177" s="230"/>
      <c r="F177" s="230"/>
      <c r="G177" s="230"/>
      <c r="H177" s="230"/>
      <c r="I177" s="230"/>
      <c r="J177" s="231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AR177" s="244"/>
      <c r="AS177" s="259"/>
    </row>
    <row r="178" spans="2:45" ht="15" hidden="1" customHeight="1">
      <c r="D178" s="230"/>
      <c r="E178" s="230"/>
      <c r="F178" s="230"/>
      <c r="G178" s="230"/>
      <c r="H178" s="230"/>
      <c r="I178" s="230"/>
      <c r="J178" s="231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</row>
    <row r="179" spans="2:45" ht="15" hidden="1" customHeight="1">
      <c r="D179" s="230"/>
      <c r="E179" s="230"/>
      <c r="F179" s="230"/>
      <c r="G179" s="230"/>
      <c r="H179" s="230"/>
      <c r="I179" s="230"/>
      <c r="J179" s="231"/>
      <c r="K179" s="232"/>
      <c r="L179" s="232"/>
      <c r="M179" s="232"/>
      <c r="N179" s="232"/>
      <c r="O179" s="232"/>
      <c r="P179" s="232"/>
      <c r="Q179" s="232"/>
      <c r="R179" s="232"/>
      <c r="S179" s="232"/>
      <c r="T179" s="232"/>
      <c r="U179" s="232"/>
      <c r="V179" s="232"/>
      <c r="AR179" s="244"/>
      <c r="AS179" s="259"/>
    </row>
    <row r="180" spans="2:45" ht="15" hidden="1" customHeight="1">
      <c r="D180" s="230"/>
      <c r="E180" s="230"/>
      <c r="F180" s="230"/>
      <c r="G180" s="230"/>
      <c r="H180" s="230"/>
      <c r="I180" s="230"/>
      <c r="J180" s="231"/>
      <c r="K180" s="232"/>
      <c r="L180" s="232"/>
      <c r="M180" s="232"/>
      <c r="N180" s="232"/>
      <c r="O180" s="232"/>
      <c r="P180" s="232"/>
      <c r="Q180" s="232"/>
      <c r="R180" s="232"/>
      <c r="S180" s="232"/>
      <c r="T180" s="232"/>
      <c r="U180" s="232"/>
      <c r="V180" s="232"/>
    </row>
    <row r="181" spans="2:45" ht="15" hidden="1" customHeight="1">
      <c r="D181" s="230"/>
      <c r="E181" s="230"/>
      <c r="F181" s="230"/>
      <c r="G181" s="230"/>
      <c r="H181" s="230"/>
      <c r="I181" s="230"/>
      <c r="J181" s="231"/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AR181" s="244"/>
      <c r="AS181" s="259"/>
    </row>
    <row r="182" spans="2:45" ht="15" hidden="1" customHeight="1">
      <c r="D182" s="230"/>
      <c r="E182" s="230"/>
      <c r="F182" s="230"/>
      <c r="G182" s="230"/>
      <c r="H182" s="230"/>
      <c r="I182" s="230"/>
      <c r="J182" s="231"/>
      <c r="K182" s="232"/>
      <c r="L182" s="232"/>
      <c r="M182" s="232"/>
      <c r="N182" s="232"/>
      <c r="O182" s="232"/>
      <c r="P182" s="232"/>
      <c r="Q182" s="232"/>
      <c r="R182" s="232"/>
      <c r="S182" s="232"/>
      <c r="T182" s="232"/>
      <c r="U182" s="232"/>
      <c r="V182" s="232"/>
    </row>
    <row r="183" spans="2:45" ht="5.25" hidden="1" customHeight="1">
      <c r="D183" s="230"/>
      <c r="E183" s="230"/>
      <c r="G183" s="230"/>
      <c r="H183" s="230"/>
      <c r="I183" s="230"/>
      <c r="J183" s="231"/>
      <c r="K183" s="237"/>
      <c r="L183" s="237"/>
      <c r="M183" s="237"/>
      <c r="N183" s="237"/>
      <c r="O183" s="237"/>
      <c r="P183" s="237"/>
      <c r="Q183" s="237"/>
      <c r="R183" s="237"/>
      <c r="S183" s="237"/>
      <c r="T183" s="237"/>
      <c r="U183" s="237"/>
      <c r="V183" s="237"/>
    </row>
    <row r="184" spans="2:45" ht="3" hidden="1" customHeight="1">
      <c r="D184" s="230"/>
      <c r="E184" s="230"/>
      <c r="G184" s="230"/>
      <c r="H184" s="230"/>
      <c r="I184" s="230"/>
      <c r="J184" s="231"/>
      <c r="K184" s="237"/>
      <c r="L184" s="237"/>
      <c r="M184" s="237"/>
      <c r="N184" s="237"/>
      <c r="O184" s="237"/>
      <c r="P184" s="237"/>
      <c r="Q184" s="237"/>
      <c r="R184" s="237"/>
      <c r="S184" s="237"/>
      <c r="T184" s="237"/>
      <c r="U184" s="237"/>
      <c r="V184" s="237"/>
    </row>
    <row r="185" spans="2:45" hidden="1">
      <c r="B185" s="702"/>
      <c r="C185" s="702"/>
    </row>
    <row r="187" spans="2:45" hidden="1">
      <c r="B187" s="238"/>
      <c r="C187" s="238"/>
    </row>
    <row r="188" spans="2:45" hidden="1">
      <c r="B188" s="238"/>
      <c r="C188" s="261"/>
    </row>
    <row r="189" spans="2:45" hidden="1">
      <c r="B189" s="238"/>
      <c r="C189" s="262"/>
    </row>
    <row r="190" spans="2:45" hidden="1">
      <c r="B190" s="238"/>
      <c r="C190" s="262"/>
    </row>
    <row r="192" spans="2:45" hidden="1">
      <c r="B192" s="238"/>
      <c r="C192" s="238"/>
      <c r="D192" s="230"/>
      <c r="E192" s="230"/>
      <c r="F192" s="230"/>
      <c r="G192" s="230"/>
      <c r="H192" s="230"/>
      <c r="I192" s="230"/>
      <c r="J192" s="231"/>
      <c r="K192" s="237"/>
      <c r="L192" s="237"/>
      <c r="M192" s="237"/>
      <c r="N192" s="237"/>
      <c r="O192" s="237"/>
      <c r="P192" s="237"/>
      <c r="Q192" s="237"/>
      <c r="R192" s="237"/>
      <c r="S192" s="237"/>
      <c r="T192" s="237"/>
      <c r="U192" s="237"/>
      <c r="V192" s="237"/>
    </row>
    <row r="193" spans="2:48" hidden="1">
      <c r="B193" s="239"/>
      <c r="C193" s="240"/>
      <c r="D193" s="230"/>
      <c r="E193" s="230"/>
      <c r="F193" s="230"/>
      <c r="G193" s="230"/>
      <c r="H193" s="230"/>
      <c r="I193" s="230"/>
      <c r="J193" s="231"/>
      <c r="K193" s="237"/>
      <c r="L193" s="237"/>
      <c r="M193" s="237"/>
      <c r="N193" s="237"/>
      <c r="O193" s="237"/>
      <c r="P193" s="237"/>
      <c r="Q193" s="237"/>
      <c r="R193" s="237"/>
      <c r="S193" s="237"/>
      <c r="T193" s="237"/>
      <c r="U193" s="237"/>
      <c r="V193" s="237"/>
    </row>
    <row r="194" spans="2:48" hidden="1">
      <c r="B194" s="239"/>
      <c r="C194" s="241"/>
      <c r="D194" s="230"/>
      <c r="E194" s="230"/>
      <c r="F194" s="230"/>
      <c r="G194" s="230"/>
      <c r="H194" s="230"/>
      <c r="I194" s="230"/>
      <c r="J194" s="231"/>
      <c r="K194" s="237"/>
      <c r="L194" s="237"/>
      <c r="M194" s="237"/>
      <c r="N194" s="237"/>
      <c r="O194" s="237"/>
      <c r="P194" s="237"/>
      <c r="Q194" s="237"/>
      <c r="R194" s="237"/>
      <c r="S194" s="237"/>
      <c r="T194" s="237"/>
      <c r="U194" s="237"/>
      <c r="V194" s="237"/>
    </row>
    <row r="195" spans="2:48" hidden="1">
      <c r="B195" s="239"/>
      <c r="C195" s="242"/>
    </row>
    <row r="200" spans="2:48" hidden="1">
      <c r="AV200" s="233" t="str">
        <f>AXD!J43</f>
        <v>Dimensionamento NÃO Atende a Todas as Verificações</v>
      </c>
    </row>
    <row r="201" spans="2:48" hidden="1">
      <c r="AV201" s="233"/>
    </row>
    <row r="202" spans="2:48" hidden="1">
      <c r="AV202" s="260">
        <f>DEGREES(ATAN(F18))</f>
        <v>16.699244233993621</v>
      </c>
    </row>
    <row r="203" spans="2:48" hidden="1">
      <c r="AV203">
        <f>AXA!C23</f>
        <v>16.788295731316005</v>
      </c>
    </row>
    <row r="204" spans="2:48" hidden="1">
      <c r="AV204" s="263">
        <v>250</v>
      </c>
    </row>
  </sheetData>
  <sheetProtection algorithmName="SHA-512" hashValue="A9tvlLuEGqGBCW1PhKhkut91vHWLUB4h/1SonfkyqJ4rU7J22pzSZqz/gl0Omr2feNdG6jozCRcRGSr/648P7A==" saltValue="FT4aSJwh9umObuqNISQ7jg==" spinCount="100000" sheet="1" objects="1" scenarios="1" selectLockedCells="1"/>
  <mergeCells count="68">
    <mergeCell ref="F19:I19"/>
    <mergeCell ref="F20:I20"/>
    <mergeCell ref="F21:I21"/>
    <mergeCell ref="B67:F67"/>
    <mergeCell ref="B69:F69"/>
    <mergeCell ref="B21:E21"/>
    <mergeCell ref="B23:I23"/>
    <mergeCell ref="B31:I31"/>
    <mergeCell ref="F32:I32"/>
    <mergeCell ref="B39:E39"/>
    <mergeCell ref="F39:I39"/>
    <mergeCell ref="B38:I38"/>
    <mergeCell ref="B41:E41"/>
    <mergeCell ref="F41:I41"/>
    <mergeCell ref="B66:I66"/>
    <mergeCell ref="G54:I54"/>
    <mergeCell ref="B71:F71"/>
    <mergeCell ref="B73:F73"/>
    <mergeCell ref="B75:F75"/>
    <mergeCell ref="B4:I4"/>
    <mergeCell ref="B5:I5"/>
    <mergeCell ref="F8:H8"/>
    <mergeCell ref="B10:I10"/>
    <mergeCell ref="B11:C11"/>
    <mergeCell ref="F11:I11"/>
    <mergeCell ref="B13:C13"/>
    <mergeCell ref="B15:C15"/>
    <mergeCell ref="B17:I17"/>
    <mergeCell ref="B18:E18"/>
    <mergeCell ref="F18:I18"/>
    <mergeCell ref="B19:E19"/>
    <mergeCell ref="B20:E20"/>
    <mergeCell ref="B58:I58"/>
    <mergeCell ref="B59:F59"/>
    <mergeCell ref="B43:E43"/>
    <mergeCell ref="B45:I45"/>
    <mergeCell ref="B50:I50"/>
    <mergeCell ref="B51:C51"/>
    <mergeCell ref="F51:I51"/>
    <mergeCell ref="C47:D47"/>
    <mergeCell ref="C46:D46"/>
    <mergeCell ref="C48:D48"/>
    <mergeCell ref="G52:I52"/>
    <mergeCell ref="B185:C185"/>
    <mergeCell ref="AR163:AS163"/>
    <mergeCell ref="AR168:AS168"/>
    <mergeCell ref="G59:I59"/>
    <mergeCell ref="B61:F61"/>
    <mergeCell ref="G61:I61"/>
    <mergeCell ref="B63:I63"/>
    <mergeCell ref="B64:E64"/>
    <mergeCell ref="G64:I64"/>
    <mergeCell ref="G67:I67"/>
    <mergeCell ref="G69:I69"/>
    <mergeCell ref="G71:I71"/>
    <mergeCell ref="G73:I73"/>
    <mergeCell ref="G75:I75"/>
    <mergeCell ref="AR172:AS172"/>
    <mergeCell ref="AR92:AS92"/>
    <mergeCell ref="AR132:AS132"/>
    <mergeCell ref="AR141:AS141"/>
    <mergeCell ref="AR153:AS153"/>
    <mergeCell ref="AR158:AS158"/>
    <mergeCell ref="AR94:AS94"/>
    <mergeCell ref="AR101:AS101"/>
    <mergeCell ref="AR111:AS111"/>
    <mergeCell ref="AR118:AS118"/>
    <mergeCell ref="AR125:AS125"/>
  </mergeCells>
  <conditionalFormatting sqref="C6">
    <cfRule type="cellIs" dxfId="50" priority="4" operator="greaterThan">
      <formula>6</formula>
    </cfRule>
  </conditionalFormatting>
  <dataValidations count="2">
    <dataValidation type="decimal" allowBlank="1" showInputMessage="1" showErrorMessage="1" sqref="C6" xr:uid="{D3A09BED-AEAE-40E5-B473-22F7311DF4EF}">
      <formula1>0</formula1>
      <formula2>6</formula2>
    </dataValidation>
    <dataValidation type="list" allowBlank="1" showInputMessage="1" showErrorMessage="1" sqref="C192:C193 C187:C188" xr:uid="{5C048B9A-635C-49C1-B1BA-D7BCB2A62D93}"/>
  </dataValidations>
  <pageMargins left="0.51181102362204722" right="0.51181102362204722" top="0.78740157480314965" bottom="0.78740157480314965" header="0.31496062992125984" footer="0.31496062992125984"/>
  <pageSetup paperSize="8" scale="4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8CD96524-5958-4872-ABBF-9E3F9DEAF243}">
          <x14:formula1>
            <xm:f>AXB!$AC$4:$AC$5</xm:f>
          </x14:formula1>
          <xm:sqref>C52</xm:sqref>
        </x14:dataValidation>
        <x14:dataValidation type="list" allowBlank="1" showInputMessage="1" showErrorMessage="1" xr:uid="{E9E0BBA5-2B41-4C5A-815D-BB7CAB891416}">
          <x14:formula1>
            <xm:f>AXA!$R$7:$R$10</xm:f>
          </x14:formula1>
          <xm:sqref>AS119</xm:sqref>
        </x14:dataValidation>
        <x14:dataValidation type="list" allowBlank="1" showInputMessage="1" showErrorMessage="1" xr:uid="{822C5891-1711-4252-9B82-83ABEA95E7F2}">
          <x14:formula1>
            <xm:f>AXB!$C$77:$C$80</xm:f>
          </x14:formula1>
          <xm:sqref>G64</xm:sqref>
        </x14:dataValidation>
        <x14:dataValidation type="list" allowBlank="1" showInputMessage="1" showErrorMessage="1" xr:uid="{537ED412-6522-45B2-8CD5-585A3DB0436E}">
          <x14:formula1>
            <xm:f>AXA!$U$7:$U$14</xm:f>
          </x14:formula1>
          <xm:sqref>AS133 AS126</xm:sqref>
        </x14:dataValidation>
        <x14:dataValidation type="list" allowBlank="1" showInputMessage="1" showErrorMessage="1" xr:uid="{76D67276-E96F-47AE-9891-20070FB7AE51}">
          <x14:formula1>
            <xm:f>AXA!$O$7:$O$9</xm:f>
          </x14:formula1>
          <xm:sqref>AS112</xm:sqref>
        </x14:dataValidation>
        <x14:dataValidation type="list" allowBlank="1" showInputMessage="1" showErrorMessage="1" xr:uid="{0A83C6D7-D094-43BB-8F92-56A6DE4E3A3F}">
          <x14:formula1>
            <xm:f>AXB!$M$4:$M$9</xm:f>
          </x14:formula1>
          <xm:sqref>F11</xm:sqref>
        </x14:dataValidation>
        <x14:dataValidation type="list" allowBlank="1" showInputMessage="1" showErrorMessage="1" xr:uid="{68510E9B-7AD0-4F12-9A73-82EF20F5CEBC}">
          <x14:formula1>
            <xm:f>AXB!$AA$3:$AA$4</xm:f>
          </x14:formula1>
          <xm:sqref>F36 I36</xm:sqref>
        </x14:dataValidation>
        <x14:dataValidation type="list" allowBlank="1" showInputMessage="1" showErrorMessage="1" xr:uid="{75520F82-5A30-428F-849B-66EE755F06BA}">
          <x14:formula1>
            <xm:f>AXB!$V$4:$V$9</xm:f>
          </x14:formula1>
          <xm:sqref>G52:I52</xm:sqref>
        </x14:dataValidation>
        <x14:dataValidation type="list" allowBlank="1" showInputMessage="1" showErrorMessage="1" xr:uid="{0C14BE94-C044-4784-BA8E-46E1B6D0F9A8}">
          <x14:formula1>
            <xm:f>AXB!$AK$4:$AM$4</xm:f>
          </x14:formula1>
          <xm:sqref>F39:I39</xm:sqref>
        </x14:dataValidation>
        <x14:dataValidation type="list" allowBlank="1" showInputMessage="1" showErrorMessage="1" xr:uid="{723C0755-6532-40AA-A768-75A931A25D7C}">
          <x14:formula1>
            <xm:f>AXB!$AP$6:$AP$17</xm:f>
          </x14:formula1>
          <xm:sqref>F41:I41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BDAD-B64F-429A-9F57-515DCF2AB7EF}">
  <sheetPr>
    <tabColor rgb="FF1C617A"/>
  </sheetPr>
  <dimension ref="A1:Q35"/>
  <sheetViews>
    <sheetView showGridLines="0" showRowColHeaders="0" zoomScaleNormal="100" workbookViewId="0">
      <pane ySplit="3" topLeftCell="A4" activePane="bottomLeft" state="frozen"/>
      <selection pane="bottomLeft" activeCell="C10" sqref="C10:D10"/>
    </sheetView>
  </sheetViews>
  <sheetFormatPr defaultColWidth="0" defaultRowHeight="14.4" zeroHeight="1"/>
  <cols>
    <col min="1" max="1" width="16.6640625" style="140" customWidth="1"/>
    <col min="2" max="2" width="9.109375" style="143" customWidth="1"/>
    <col min="3" max="5" width="12.6640625" style="143" customWidth="1"/>
    <col min="6" max="6" width="4.6640625" style="143" customWidth="1"/>
    <col min="7" max="10" width="10.6640625" style="143" customWidth="1"/>
    <col min="11" max="11" width="4.6640625" style="143" customWidth="1"/>
    <col min="12" max="12" width="14.6640625" style="143" bestFit="1" customWidth="1"/>
    <col min="13" max="14" width="18.6640625" style="143" customWidth="1"/>
    <col min="15" max="17" width="9.109375" style="143" customWidth="1"/>
    <col min="18" max="16384" width="9.109375" style="143" hidden="1"/>
  </cols>
  <sheetData>
    <row r="1" spans="1:17" ht="9.9" customHeight="1">
      <c r="A1" s="264"/>
      <c r="B1" s="737"/>
      <c r="C1" s="737"/>
      <c r="D1" s="737"/>
      <c r="E1" s="737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</row>
    <row r="2" spans="1:17" ht="16.5" customHeight="1">
      <c r="A2" s="264"/>
      <c r="B2" s="737"/>
      <c r="C2" s="737"/>
      <c r="D2" s="737"/>
      <c r="E2" s="737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</row>
    <row r="3" spans="1:17" ht="9.9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</row>
    <row r="4" spans="1:17" ht="30" customHeight="1">
      <c r="A4" s="264"/>
      <c r="B4" s="264"/>
      <c r="C4" s="554" t="s">
        <v>252</v>
      </c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</row>
    <row r="5" spans="1:17">
      <c r="A5" s="264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</row>
    <row r="6" spans="1:17" ht="20.100000000000001" customHeight="1">
      <c r="A6" s="264"/>
      <c r="B6" s="264"/>
      <c r="C6" s="738" t="s">
        <v>435</v>
      </c>
      <c r="D6" s="738"/>
      <c r="E6" s="738"/>
      <c r="F6" s="269"/>
      <c r="G6" s="741" t="s">
        <v>436</v>
      </c>
      <c r="H6" s="741"/>
      <c r="I6" s="741"/>
      <c r="J6" s="741"/>
      <c r="K6" s="269"/>
      <c r="L6" s="739" t="s">
        <v>249</v>
      </c>
      <c r="M6" s="739"/>
      <c r="N6" s="739"/>
      <c r="O6" s="264"/>
      <c r="P6" s="264"/>
      <c r="Q6" s="264"/>
    </row>
    <row r="7" spans="1:17" ht="20.100000000000001" customHeight="1">
      <c r="A7" s="264"/>
      <c r="B7" s="264"/>
      <c r="C7" s="273" t="s">
        <v>433</v>
      </c>
      <c r="D7" s="273" t="s">
        <v>434</v>
      </c>
      <c r="E7" s="283" t="s">
        <v>328</v>
      </c>
      <c r="F7" s="269"/>
      <c r="G7" s="282" t="s">
        <v>424</v>
      </c>
      <c r="H7" s="282" t="s">
        <v>425</v>
      </c>
      <c r="I7" s="282" t="s">
        <v>426</v>
      </c>
      <c r="J7" s="282" t="s">
        <v>427</v>
      </c>
      <c r="K7" s="269"/>
      <c r="L7" s="740" t="s">
        <v>49</v>
      </c>
      <c r="M7" s="740"/>
      <c r="N7" s="285">
        <f>DSB!I43</f>
        <v>12</v>
      </c>
      <c r="O7" s="264"/>
      <c r="P7" s="264"/>
      <c r="Q7" s="264"/>
    </row>
    <row r="8" spans="1:17" ht="26.4">
      <c r="A8" s="264"/>
      <c r="B8" s="264"/>
      <c r="C8" s="278" t="s">
        <v>39</v>
      </c>
      <c r="D8" s="278" t="s">
        <v>41</v>
      </c>
      <c r="E8" s="278" t="s">
        <v>327</v>
      </c>
      <c r="F8" s="269"/>
      <c r="G8" s="272">
        <f>IF($D$14="Classes",DSB!I46,0.7*DSB!I46)</f>
        <v>32</v>
      </c>
      <c r="H8" s="272">
        <f>IF($D$14="Classes",DSB!I47,0.7*DSB!I47)</f>
        <v>36</v>
      </c>
      <c r="I8" s="272">
        <f>IF($D$14="Classes",DSB!C48,0.54*DSB!C48)</f>
        <v>4.5</v>
      </c>
      <c r="J8" s="272">
        <f>0.7*DSB!C47</f>
        <v>11900</v>
      </c>
      <c r="K8" s="269"/>
      <c r="L8" s="586" t="s">
        <v>428</v>
      </c>
      <c r="M8" s="277">
        <f>(G8*$D$11/1.4)/(1+((3*($N$7-12))/(100)))</f>
        <v>16</v>
      </c>
      <c r="N8" s="274">
        <f>M8/10</f>
        <v>1.6</v>
      </c>
      <c r="O8" s="264"/>
      <c r="P8" s="264"/>
      <c r="Q8" s="264"/>
    </row>
    <row r="9" spans="1:17" ht="20.100000000000001" customHeight="1">
      <c r="A9" s="264"/>
      <c r="B9" s="264"/>
      <c r="C9" s="278" t="s">
        <v>40</v>
      </c>
      <c r="D9" s="279" t="str">
        <f>DSB!G64</f>
        <v>(1)</v>
      </c>
      <c r="E9" s="279"/>
      <c r="F9" s="269"/>
      <c r="G9" s="270"/>
      <c r="H9" s="269"/>
      <c r="I9" s="269"/>
      <c r="J9" s="269"/>
      <c r="K9" s="269"/>
      <c r="L9" s="586" t="s">
        <v>429</v>
      </c>
      <c r="M9" s="277" t="str">
        <f>IF($D$14="Classes","-",(H8*$D$11/1.8)/(1+((3*($N$7-12))/(100))))</f>
        <v>-</v>
      </c>
      <c r="N9" s="274" t="str">
        <f>IF($D$14="Classes","-",M9/10)</f>
        <v>-</v>
      </c>
      <c r="O9" s="264"/>
      <c r="P9" s="264"/>
      <c r="Q9" s="264"/>
    </row>
    <row r="10" spans="1:17" ht="20.100000000000001" customHeight="1">
      <c r="A10" s="264"/>
      <c r="B10" s="264"/>
      <c r="C10" s="284">
        <f>VLOOKUP(C9,AXB!C70:D74,2,0)</f>
        <v>0.7</v>
      </c>
      <c r="D10" s="284">
        <f>VLOOKUP(D9,AXB!C77:D80,2,0)</f>
        <v>1</v>
      </c>
      <c r="E10" s="284">
        <f>VLOOKUP(D9,AXB!C77:E80,3,0)</f>
        <v>0.6</v>
      </c>
      <c r="F10" s="269"/>
      <c r="G10" s="270"/>
      <c r="H10" s="269"/>
      <c r="I10" s="269"/>
      <c r="J10" s="269"/>
      <c r="K10" s="269"/>
      <c r="L10" s="586" t="s">
        <v>430</v>
      </c>
      <c r="M10" s="277">
        <f>D11*I8/1.8</f>
        <v>1.75</v>
      </c>
      <c r="N10" s="274">
        <f>M10/10</f>
        <v>0.17499999999999999</v>
      </c>
      <c r="O10" s="264"/>
      <c r="P10" s="264"/>
      <c r="Q10" s="264"/>
    </row>
    <row r="11" spans="1:17" ht="20.100000000000001" customHeight="1">
      <c r="A11" s="264"/>
      <c r="B11" s="264"/>
      <c r="C11" s="280" t="s">
        <v>423</v>
      </c>
      <c r="D11" s="272">
        <f>C10*D10</f>
        <v>0.7</v>
      </c>
      <c r="E11" s="281"/>
      <c r="F11" s="269"/>
      <c r="G11" s="269"/>
      <c r="H11" s="269"/>
      <c r="I11" s="269"/>
      <c r="J11" s="269"/>
      <c r="K11" s="269"/>
      <c r="L11" s="586" t="s">
        <v>431</v>
      </c>
      <c r="M11" s="277">
        <f>(DSB!C47*$D$11)/(1+((2*($N$7-12))/(100)))</f>
        <v>11900</v>
      </c>
      <c r="N11" s="275">
        <f>M11/10</f>
        <v>1190</v>
      </c>
      <c r="O11" s="264"/>
      <c r="P11" s="264"/>
      <c r="Q11" s="264"/>
    </row>
    <row r="12" spans="1:17" ht="20.100000000000001" customHeight="1">
      <c r="A12" s="264"/>
      <c r="B12" s="264"/>
      <c r="C12" s="270"/>
      <c r="D12" s="270"/>
      <c r="E12" s="270"/>
      <c r="F12" s="269"/>
      <c r="G12" s="269"/>
      <c r="H12" s="269"/>
      <c r="I12" s="269"/>
      <c r="J12" s="269"/>
      <c r="K12" s="269"/>
      <c r="L12" s="586" t="s">
        <v>432</v>
      </c>
      <c r="M12" s="277">
        <f>(DSB!C47)/(1+((2*($N$7-12))/(100)))</f>
        <v>17000</v>
      </c>
      <c r="N12" s="275">
        <f>M12/10</f>
        <v>1700</v>
      </c>
      <c r="O12" s="264"/>
      <c r="P12" s="264"/>
      <c r="Q12" s="264"/>
    </row>
    <row r="13" spans="1:17" ht="15" customHeight="1">
      <c r="A13" s="264"/>
      <c r="B13" s="267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69"/>
      <c r="O13" s="264"/>
      <c r="P13" s="264"/>
      <c r="Q13" s="264"/>
    </row>
    <row r="14" spans="1:17" ht="18" customHeight="1">
      <c r="A14" s="264"/>
      <c r="B14" s="264"/>
      <c r="C14" s="264" t="s">
        <v>148</v>
      </c>
      <c r="D14" s="264" t="s">
        <v>147</v>
      </c>
      <c r="E14" s="264" t="str">
        <f>DSB!F41</f>
        <v>D60</v>
      </c>
      <c r="F14" s="264" t="str">
        <f>VLOOKUP(E14,AXB!C5:D61,2,0)</f>
        <v>Plantada</v>
      </c>
      <c r="G14" s="276"/>
      <c r="H14" s="268"/>
      <c r="I14" s="266"/>
      <c r="J14" s="266"/>
      <c r="K14" s="266"/>
      <c r="L14" s="266"/>
      <c r="M14" s="266"/>
      <c r="N14" s="264"/>
      <c r="O14" s="264"/>
      <c r="P14" s="264"/>
      <c r="Q14" s="264"/>
    </row>
    <row r="15" spans="1:17" ht="18" customHeight="1">
      <c r="A15" s="264"/>
      <c r="B15" s="267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4"/>
      <c r="O15" s="264"/>
      <c r="P15" s="264"/>
      <c r="Q15" s="264"/>
    </row>
    <row r="16" spans="1:17" ht="18" customHeight="1">
      <c r="A16" s="264"/>
      <c r="B16" s="267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4"/>
      <c r="O16" s="264"/>
      <c r="P16" s="264"/>
      <c r="Q16" s="264"/>
    </row>
    <row r="17" spans="1:17" ht="18" customHeight="1">
      <c r="A17" s="264"/>
      <c r="B17" s="264"/>
      <c r="C17" s="266"/>
      <c r="D17" s="266"/>
      <c r="E17" s="266"/>
      <c r="F17" s="266"/>
      <c r="G17" s="266"/>
      <c r="H17" s="266"/>
      <c r="I17" s="264"/>
      <c r="J17" s="264"/>
      <c r="K17" s="264"/>
      <c r="L17" s="264"/>
      <c r="M17" s="264"/>
      <c r="N17" s="264"/>
      <c r="O17" s="264"/>
      <c r="P17" s="264"/>
      <c r="Q17" s="264"/>
    </row>
    <row r="18" spans="1:17" ht="18" customHeight="1">
      <c r="A18" s="264"/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</row>
    <row r="19" spans="1:17" ht="15" customHeight="1">
      <c r="A19" s="264"/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</row>
    <row r="20" spans="1:17" ht="15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</row>
    <row r="21" spans="1:17" ht="15" customHeight="1">
      <c r="A21" s="26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</row>
    <row r="22" spans="1:17" ht="15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</row>
    <row r="23" spans="1:17" ht="15" customHeight="1">
      <c r="A23" s="264"/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</row>
    <row r="24" spans="1:17" ht="15" customHeight="1">
      <c r="A24" s="264"/>
      <c r="B24" s="264"/>
      <c r="C24" s="735"/>
      <c r="D24" s="735"/>
      <c r="E24" s="736"/>
      <c r="F24" s="736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</row>
    <row r="25" spans="1:17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</row>
    <row r="26" spans="1:17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</row>
    <row r="27" spans="1:17">
      <c r="A27" s="264"/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</row>
    <row r="28" spans="1:17">
      <c r="A28" s="264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</row>
    <row r="29" spans="1:17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</row>
    <row r="30" spans="1:17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</row>
    <row r="31" spans="1:17">
      <c r="A31" s="264"/>
      <c r="B31" s="264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</row>
    <row r="32" spans="1:17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</row>
    <row r="33" spans="1:17">
      <c r="A33" s="264"/>
      <c r="B33" s="264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</row>
    <row r="34" spans="1:17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</row>
    <row r="35" spans="1:17">
      <c r="A35" s="264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</row>
  </sheetData>
  <sheetProtection algorithmName="SHA-512" hashValue="ujuDZ+3DBJ0WrZHDtErKx92jfXkM3Za8y2xuoTBWVR2ckd8xtACVGHIjMr8c9YMj3L/dWtC2pEg5DR1ObCoA7w==" saltValue="zordgk1KRpvD9qMFqdvHlw==" spinCount="100000" sheet="1" objects="1" scenarios="1" selectLockedCells="1"/>
  <mergeCells count="7">
    <mergeCell ref="C24:D24"/>
    <mergeCell ref="E24:F24"/>
    <mergeCell ref="B1:E2"/>
    <mergeCell ref="C6:E6"/>
    <mergeCell ref="L6:N6"/>
    <mergeCell ref="L7:M7"/>
    <mergeCell ref="G6:J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6F12DA4-E72F-4AD8-92ED-3EF950CF888E}">
          <x14:formula1>
            <xm:f>AXB!$C$70:$C$74</xm:f>
          </x14:formula1>
          <xm:sqref>C9</xm:sqref>
        </x14:dataValidation>
        <x14:dataValidation type="list" allowBlank="1" showInputMessage="1" showErrorMessage="1" xr:uid="{58AFCF2E-2651-46C1-8D9A-E90818BD1AB0}">
          <x14:formula1>
            <xm:f>AXB!$C$85:$C$86</xm:f>
          </x14:formula1>
          <xm:sqref>E9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1671-EB77-4B6D-A07D-30980FD3B3DF}">
  <sheetPr>
    <tabColor rgb="FF1C617A"/>
  </sheetPr>
  <dimension ref="A1:AE89"/>
  <sheetViews>
    <sheetView showGridLines="0" showRowColHeaders="0" zoomScaleNormal="100" workbookViewId="0">
      <pane ySplit="3" topLeftCell="A4" activePane="bottomLeft" state="frozen"/>
      <selection activeCell="M5" sqref="M5"/>
      <selection pane="bottomLeft"/>
    </sheetView>
  </sheetViews>
  <sheetFormatPr defaultColWidth="0" defaultRowHeight="16.8" zeroHeight="1"/>
  <cols>
    <col min="1" max="1" width="16.6640625" style="140" customWidth="1"/>
    <col min="2" max="2" width="9.109375" style="143" customWidth="1"/>
    <col min="3" max="3" width="12.109375" style="295" customWidth="1"/>
    <col min="4" max="4" width="15.6640625" style="295" customWidth="1"/>
    <col min="5" max="5" width="7.6640625" style="295" customWidth="1"/>
    <col min="6" max="6" width="12.109375" style="295" customWidth="1"/>
    <col min="7" max="7" width="15.6640625" style="295" customWidth="1"/>
    <col min="8" max="8" width="7.6640625" style="295" customWidth="1"/>
    <col min="9" max="9" width="12.109375" style="295" customWidth="1"/>
    <col min="10" max="10" width="15.6640625" style="295" customWidth="1"/>
    <col min="11" max="12" width="5.6640625" style="295" customWidth="1"/>
    <col min="13" max="13" width="11.5546875" style="295" customWidth="1"/>
    <col min="14" max="14" width="15.6640625" style="295" customWidth="1"/>
    <col min="15" max="18" width="9.109375" style="143" customWidth="1"/>
    <col min="19" max="31" width="0" style="143" hidden="1" customWidth="1"/>
    <col min="32" max="16384" width="9.109375" style="143" hidden="1"/>
  </cols>
  <sheetData>
    <row r="1" spans="1:31" ht="9.9" customHeight="1">
      <c r="A1" s="264"/>
      <c r="B1" s="737"/>
      <c r="C1" s="737"/>
      <c r="D1" s="737"/>
      <c r="E1" s="737"/>
      <c r="F1" s="271"/>
      <c r="G1" s="271"/>
      <c r="H1" s="271"/>
      <c r="I1" s="271"/>
      <c r="J1" s="271"/>
      <c r="K1" s="271"/>
      <c r="L1" s="271"/>
      <c r="M1" s="271"/>
      <c r="N1" s="271"/>
      <c r="O1" s="264"/>
      <c r="P1" s="264"/>
      <c r="Q1" s="264"/>
      <c r="R1" s="264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</row>
    <row r="2" spans="1:31" ht="16.5" customHeight="1">
      <c r="A2" s="264"/>
      <c r="B2" s="737"/>
      <c r="C2" s="737"/>
      <c r="D2" s="737"/>
      <c r="E2" s="737"/>
      <c r="F2" s="271"/>
      <c r="G2" s="271"/>
      <c r="H2" s="271"/>
      <c r="I2" s="271"/>
      <c r="J2" s="271"/>
      <c r="K2" s="271"/>
      <c r="L2" s="271"/>
      <c r="M2" s="271"/>
      <c r="N2" s="271"/>
      <c r="O2" s="264"/>
      <c r="P2" s="264"/>
      <c r="Q2" s="264"/>
      <c r="R2" s="26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</row>
    <row r="3" spans="1:31" ht="9.9" customHeight="1">
      <c r="A3" s="264"/>
      <c r="B3" s="265"/>
      <c r="C3" s="297"/>
      <c r="D3" s="297"/>
      <c r="E3" s="297"/>
      <c r="F3" s="271"/>
      <c r="G3" s="271"/>
      <c r="H3" s="271"/>
      <c r="I3" s="271"/>
      <c r="J3" s="271"/>
      <c r="K3" s="271"/>
      <c r="L3" s="271"/>
      <c r="M3" s="271"/>
      <c r="N3" s="271"/>
      <c r="O3" s="264"/>
      <c r="P3" s="264"/>
      <c r="Q3" s="264"/>
      <c r="R3" s="264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</row>
    <row r="4" spans="1:31" ht="30" customHeight="1">
      <c r="A4" s="264"/>
      <c r="B4" s="265"/>
      <c r="C4" s="554" t="s">
        <v>251</v>
      </c>
      <c r="D4" s="297"/>
      <c r="E4" s="297"/>
      <c r="F4" s="271"/>
      <c r="G4" s="271"/>
      <c r="H4" s="271"/>
      <c r="I4" s="271"/>
      <c r="J4" s="271"/>
      <c r="K4" s="271"/>
      <c r="L4" s="271"/>
      <c r="M4" s="271"/>
      <c r="N4" s="271"/>
      <c r="O4" s="264"/>
      <c r="P4" s="264"/>
      <c r="Q4" s="264"/>
      <c r="R4" s="264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</row>
    <row r="5" spans="1:31">
      <c r="A5" s="264"/>
      <c r="B5" s="264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64"/>
      <c r="P5" s="264"/>
      <c r="Q5" s="264"/>
      <c r="R5" s="264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</row>
    <row r="6" spans="1:31">
      <c r="A6" s="264"/>
      <c r="B6" s="264"/>
      <c r="C6" s="440" t="s">
        <v>149</v>
      </c>
      <c r="D6" s="326">
        <v>9.8059999999999992</v>
      </c>
      <c r="E6" s="271"/>
      <c r="F6" s="440" t="s">
        <v>250</v>
      </c>
      <c r="G6" s="327">
        <f>SIN(RADIANS(DSB!AV203))</f>
        <v>0.2888362315789334</v>
      </c>
      <c r="H6" s="271"/>
      <c r="I6" s="440" t="s">
        <v>22</v>
      </c>
      <c r="J6" s="327">
        <f>COS(RADIANS(DSB!AV203))</f>
        <v>0.95737852040208249</v>
      </c>
      <c r="K6" s="271"/>
      <c r="L6" s="271"/>
      <c r="M6" s="271"/>
      <c r="N6" s="271"/>
      <c r="O6" s="264"/>
      <c r="P6" s="264"/>
      <c r="Q6" s="264"/>
      <c r="R6" s="264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</row>
    <row r="7" spans="1:31">
      <c r="A7" s="264"/>
      <c r="B7" s="264"/>
      <c r="C7" s="271"/>
      <c r="D7" s="271"/>
      <c r="E7" s="271"/>
      <c r="F7" s="271"/>
      <c r="G7" s="271"/>
      <c r="H7" s="290"/>
      <c r="I7" s="271"/>
      <c r="J7" s="271"/>
      <c r="K7" s="271"/>
      <c r="L7" s="271"/>
      <c r="M7" s="271"/>
      <c r="N7" s="271"/>
      <c r="O7" s="264"/>
      <c r="P7" s="264"/>
      <c r="Q7" s="264"/>
      <c r="R7" s="264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</row>
    <row r="8" spans="1:31" s="288" customFormat="1" ht="16.5" customHeight="1">
      <c r="A8" s="269"/>
      <c r="B8" s="269"/>
      <c r="C8" s="743" t="s">
        <v>253</v>
      </c>
      <c r="D8" s="743"/>
      <c r="E8" s="743"/>
      <c r="F8" s="743"/>
      <c r="G8" s="743"/>
      <c r="H8" s="743"/>
      <c r="I8" s="743"/>
      <c r="J8" s="743"/>
      <c r="K8" s="366"/>
      <c r="L8" s="293"/>
      <c r="M8" s="743" t="s">
        <v>254</v>
      </c>
      <c r="N8" s="743"/>
      <c r="O8" s="287"/>
      <c r="P8" s="287"/>
      <c r="Q8" s="269"/>
      <c r="R8" s="269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</row>
    <row r="9" spans="1:31">
      <c r="A9" s="264"/>
      <c r="B9" s="264"/>
      <c r="C9" s="271"/>
      <c r="D9" s="271"/>
      <c r="E9" s="271"/>
      <c r="F9" s="271"/>
      <c r="G9" s="271"/>
      <c r="H9" s="271"/>
      <c r="I9" s="271"/>
      <c r="J9" s="271"/>
      <c r="K9" s="299"/>
      <c r="L9" s="271"/>
      <c r="M9" s="271"/>
      <c r="N9" s="271"/>
      <c r="O9" s="264"/>
      <c r="P9" s="264"/>
      <c r="Q9" s="264"/>
      <c r="R9" s="264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</row>
    <row r="10" spans="1:31">
      <c r="A10" s="264"/>
      <c r="B10" s="264"/>
      <c r="C10" s="744" t="s">
        <v>4</v>
      </c>
      <c r="D10" s="744"/>
      <c r="E10" s="271"/>
      <c r="F10" s="744" t="s">
        <v>5</v>
      </c>
      <c r="G10" s="744"/>
      <c r="H10" s="271"/>
      <c r="I10" s="744" t="s">
        <v>6</v>
      </c>
      <c r="J10" s="744"/>
      <c r="K10" s="299"/>
      <c r="L10" s="271"/>
      <c r="M10" s="742" t="s">
        <v>329</v>
      </c>
      <c r="N10" s="742"/>
      <c r="O10" s="264"/>
      <c r="P10" s="264"/>
      <c r="Q10" s="264"/>
      <c r="R10" s="264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</row>
    <row r="11" spans="1:31">
      <c r="A11" s="264"/>
      <c r="B11" s="264"/>
      <c r="C11" s="587" t="s">
        <v>437</v>
      </c>
      <c r="D11" s="324">
        <f>(DSB!C46*D6*DSB!C25*DSB!C27)/((DSB!C29)*10000000)</f>
        <v>1.6257315789473682E-2</v>
      </c>
      <c r="E11" s="271"/>
      <c r="F11" s="587" t="s">
        <v>438</v>
      </c>
      <c r="G11" s="324">
        <f>(DSB!C46*D6*DSB!F25*DSB!F27)/(DSB!F29*10000000)</f>
        <v>2.8241279999999994E-2</v>
      </c>
      <c r="H11" s="271"/>
      <c r="I11" s="587" t="s">
        <v>439</v>
      </c>
      <c r="J11" s="324">
        <f>(DSB!C46*D6*DSB!I25*DSB!I27)/(DSB!I29*10000000)</f>
        <v>5.1325603803288523E-2</v>
      </c>
      <c r="K11" s="299"/>
      <c r="L11" s="271"/>
      <c r="M11" s="323" t="s">
        <v>61</v>
      </c>
      <c r="N11" s="325">
        <f>DSB!G61</f>
        <v>0.25</v>
      </c>
      <c r="O11" s="264"/>
      <c r="P11" s="264"/>
      <c r="Q11" s="264"/>
      <c r="R11" s="264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</row>
    <row r="12" spans="1:31">
      <c r="A12" s="264"/>
      <c r="B12" s="264"/>
      <c r="C12" s="587" t="s">
        <v>440</v>
      </c>
      <c r="D12" s="324">
        <f>($D$11+$D$17+D20)</f>
        <v>0.50577283578947363</v>
      </c>
      <c r="E12" s="271"/>
      <c r="F12" s="587" t="s">
        <v>441</v>
      </c>
      <c r="G12" s="324">
        <f>(D17+D11+G11+D20)</f>
        <v>0.53401411578947366</v>
      </c>
      <c r="H12" s="271"/>
      <c r="I12" s="587" t="s">
        <v>442</v>
      </c>
      <c r="J12" s="324">
        <f>((G12+J11))</f>
        <v>0.58533971959276221</v>
      </c>
      <c r="K12" s="299"/>
      <c r="L12" s="271"/>
      <c r="M12" s="323" t="s">
        <v>443</v>
      </c>
      <c r="N12" s="324">
        <f>($N$11)*SIN(RADIANS(DSB!$AV$203))</f>
        <v>7.220905789473335E-2</v>
      </c>
      <c r="O12" s="301"/>
      <c r="P12" s="264"/>
      <c r="Q12" s="264"/>
      <c r="R12" s="264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</row>
    <row r="13" spans="1:31">
      <c r="A13" s="264"/>
      <c r="B13" s="264"/>
      <c r="C13" s="587" t="s">
        <v>444</v>
      </c>
      <c r="D13" s="324">
        <f>(D12)*SIN(RADIANS(DSB!$AV$203))</f>
        <v>0.14608551992442226</v>
      </c>
      <c r="E13" s="271"/>
      <c r="F13" s="587" t="s">
        <v>445</v>
      </c>
      <c r="G13" s="324">
        <f>(G12)*SIN(RADIANS(DSB!$AV$203))</f>
        <v>0.15424262481458778</v>
      </c>
      <c r="H13" s="271"/>
      <c r="I13" s="587" t="s">
        <v>446</v>
      </c>
      <c r="J13" s="324">
        <f>(J12)*SIN(RADIANS(DSB!$AV$203))</f>
        <v>0.16906731880064302</v>
      </c>
      <c r="K13" s="299"/>
      <c r="L13" s="271"/>
      <c r="M13" s="323" t="s">
        <v>447</v>
      </c>
      <c r="N13" s="324">
        <f>($N$11)*COS(RADIANS(DSB!$AV$203))</f>
        <v>0.23934463010052062</v>
      </c>
      <c r="O13" s="264"/>
      <c r="P13" s="264"/>
      <c r="Q13" s="264"/>
      <c r="R13" s="264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</row>
    <row r="14" spans="1:31">
      <c r="A14" s="264"/>
      <c r="B14" s="264"/>
      <c r="C14" s="587" t="s">
        <v>448</v>
      </c>
      <c r="D14" s="324">
        <f>(D12)*COS(RADIANS(DSB!$AV$203))</f>
        <v>0.48421604918769168</v>
      </c>
      <c r="E14" s="271"/>
      <c r="F14" s="587" t="s">
        <v>449</v>
      </c>
      <c r="G14" s="324">
        <f>(G12)*COS(RADIANS(DSB!$AV$203))</f>
        <v>0.51125364404835261</v>
      </c>
      <c r="H14" s="271"/>
      <c r="I14" s="587" t="s">
        <v>450</v>
      </c>
      <c r="J14" s="324">
        <f>(J12)*COS(RADIANS(DSB!$AV$203))</f>
        <v>0.56039167467628859</v>
      </c>
      <c r="K14" s="299"/>
      <c r="L14" s="271"/>
      <c r="M14" s="271"/>
      <c r="N14" s="271"/>
      <c r="O14" s="264"/>
      <c r="P14" s="264"/>
      <c r="Q14" s="264"/>
      <c r="R14" s="264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</row>
    <row r="15" spans="1:31">
      <c r="A15" s="264"/>
      <c r="B15" s="264"/>
      <c r="C15" s="271"/>
      <c r="D15" s="271"/>
      <c r="E15" s="271"/>
      <c r="F15" s="271"/>
      <c r="G15" s="271"/>
      <c r="H15" s="271"/>
      <c r="I15" s="271"/>
      <c r="J15" s="271"/>
      <c r="K15" s="299"/>
      <c r="L15" s="271"/>
      <c r="M15" s="742" t="s">
        <v>330</v>
      </c>
      <c r="N15" s="742"/>
      <c r="O15" s="264"/>
      <c r="P15" s="264"/>
      <c r="Q15" s="264"/>
      <c r="R15" s="264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</row>
    <row r="16" spans="1:31">
      <c r="A16" s="264"/>
      <c r="B16" s="264"/>
      <c r="C16" s="744" t="s">
        <v>3</v>
      </c>
      <c r="D16" s="744"/>
      <c r="E16" s="271"/>
      <c r="F16" s="744" t="s">
        <v>95</v>
      </c>
      <c r="G16" s="744"/>
      <c r="H16" s="271"/>
      <c r="I16" s="744" t="s">
        <v>457</v>
      </c>
      <c r="J16" s="744"/>
      <c r="K16" s="299"/>
      <c r="L16" s="271"/>
      <c r="M16" s="323" t="str">
        <f>M11</f>
        <v>Q</v>
      </c>
      <c r="N16" s="324">
        <f>N11*COS(RADIANS(DSB!$AV$203))</f>
        <v>0.23934463010052062</v>
      </c>
      <c r="O16" s="264"/>
      <c r="P16" s="264"/>
      <c r="Q16" s="264"/>
      <c r="R16" s="264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</row>
    <row r="17" spans="1:31">
      <c r="A17" s="264"/>
      <c r="B17" s="264"/>
      <c r="C17" s="587" t="s">
        <v>451</v>
      </c>
      <c r="D17" s="324">
        <f>(DSB!F20*DSB!F21*D6*(1+DSB!I15))/1000</f>
        <v>0.48951551999999998</v>
      </c>
      <c r="E17" s="271"/>
      <c r="F17" s="587" t="s">
        <v>452</v>
      </c>
      <c r="G17" s="325">
        <f>DSB!G54</f>
        <v>0</v>
      </c>
      <c r="H17" s="271"/>
      <c r="I17" s="587" t="s">
        <v>453</v>
      </c>
      <c r="J17" s="324">
        <f>0.0245*(1+0.33*AXA!C10)</f>
        <v>7.2201500000000002E-2</v>
      </c>
      <c r="K17" s="299"/>
      <c r="L17" s="271"/>
      <c r="M17" s="323" t="str">
        <f>M12</f>
        <v>Qx</v>
      </c>
      <c r="N17" s="324">
        <f>N16*SIN(RADIANS(DSB!$AV$203))</f>
        <v>6.9131401006888124E-2</v>
      </c>
      <c r="O17" s="264"/>
      <c r="P17" s="264"/>
      <c r="Q17" s="264"/>
      <c r="R17" s="264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</row>
    <row r="18" spans="1:31">
      <c r="A18" s="264"/>
      <c r="B18" s="264"/>
      <c r="C18" s="271"/>
      <c r="D18" s="271"/>
      <c r="E18" s="271"/>
      <c r="F18" s="271"/>
      <c r="G18" s="271"/>
      <c r="H18" s="271"/>
      <c r="I18" s="271"/>
      <c r="J18" s="271"/>
      <c r="K18" s="299"/>
      <c r="L18" s="271"/>
      <c r="M18" s="323" t="str">
        <f>M13</f>
        <v>Qy</v>
      </c>
      <c r="N18" s="324">
        <f>N16*COS(RADIANS(DSB!$AV$203))</f>
        <v>0.22914340783182016</v>
      </c>
      <c r="O18" s="264"/>
      <c r="P18" s="264"/>
      <c r="Q18" s="264"/>
      <c r="R18" s="264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</row>
    <row r="19" spans="1:31">
      <c r="A19" s="264"/>
      <c r="B19" s="264"/>
      <c r="C19" s="744" t="s">
        <v>294</v>
      </c>
      <c r="D19" s="744"/>
      <c r="E19" s="271"/>
      <c r="F19" s="271"/>
      <c r="G19" s="271"/>
      <c r="H19" s="271"/>
      <c r="I19" s="271"/>
      <c r="J19" s="271"/>
      <c r="K19" s="299"/>
      <c r="L19" s="271"/>
      <c r="M19" s="271"/>
      <c r="N19" s="271"/>
      <c r="O19" s="264"/>
      <c r="P19" s="264"/>
      <c r="Q19" s="264"/>
      <c r="R19" s="264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</row>
    <row r="20" spans="1:31">
      <c r="A20" s="264"/>
      <c r="B20" s="264"/>
      <c r="C20" s="587" t="s">
        <v>454</v>
      </c>
      <c r="D20" s="324">
        <f>DSB!C54</f>
        <v>0</v>
      </c>
      <c r="E20" s="271"/>
      <c r="F20" s="271"/>
      <c r="G20" s="271"/>
      <c r="H20" s="271"/>
      <c r="I20" s="271"/>
      <c r="J20" s="271"/>
      <c r="K20" s="299"/>
      <c r="L20" s="271"/>
      <c r="M20" s="744" t="s">
        <v>344</v>
      </c>
      <c r="N20" s="744"/>
      <c r="O20" s="264"/>
      <c r="P20" s="264"/>
      <c r="Q20" s="264"/>
      <c r="R20" s="264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</row>
    <row r="21" spans="1:31">
      <c r="A21" s="264"/>
      <c r="B21" s="264"/>
      <c r="C21" s="271"/>
      <c r="D21" s="271"/>
      <c r="E21" s="271"/>
      <c r="F21" s="271"/>
      <c r="G21" s="271"/>
      <c r="H21" s="271"/>
      <c r="I21" s="271"/>
      <c r="J21" s="271"/>
      <c r="K21" s="299"/>
      <c r="L21" s="271"/>
      <c r="M21" s="323" t="s">
        <v>62</v>
      </c>
      <c r="N21" s="324">
        <f>DSB!G59</f>
        <v>0</v>
      </c>
      <c r="O21" s="264"/>
      <c r="P21" s="264"/>
      <c r="Q21" s="264"/>
      <c r="R21" s="264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</row>
    <row r="22" spans="1:31">
      <c r="A22" s="264"/>
      <c r="B22" s="264"/>
      <c r="C22" s="271"/>
      <c r="D22" s="271"/>
      <c r="E22" s="271"/>
      <c r="F22" s="271"/>
      <c r="G22" s="271"/>
      <c r="H22" s="271"/>
      <c r="I22" s="271"/>
      <c r="J22" s="271"/>
      <c r="K22" s="299"/>
      <c r="L22" s="271"/>
      <c r="M22" s="323" t="s">
        <v>455</v>
      </c>
      <c r="N22" s="324">
        <f>N21*G6</f>
        <v>0</v>
      </c>
      <c r="O22" s="264"/>
      <c r="P22" s="264"/>
      <c r="Q22" s="264"/>
      <c r="R22" s="264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</row>
    <row r="23" spans="1:31">
      <c r="A23" s="264"/>
      <c r="B23" s="264"/>
      <c r="C23" s="271"/>
      <c r="D23" s="271"/>
      <c r="E23" s="271"/>
      <c r="F23" s="271"/>
      <c r="G23" s="271"/>
      <c r="H23" s="271"/>
      <c r="I23" s="291"/>
      <c r="J23" s="291"/>
      <c r="K23" s="300"/>
      <c r="L23" s="271"/>
      <c r="M23" s="323" t="s">
        <v>456</v>
      </c>
      <c r="N23" s="324">
        <f>N21*J6</f>
        <v>0</v>
      </c>
      <c r="O23" s="264"/>
      <c r="P23" s="264"/>
      <c r="Q23" s="264"/>
      <c r="R23" s="264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</row>
    <row r="24" spans="1:31">
      <c r="A24" s="264"/>
      <c r="B24" s="264"/>
      <c r="C24" s="271"/>
      <c r="D24" s="271"/>
      <c r="E24" s="271"/>
      <c r="F24" s="271"/>
      <c r="G24" s="271"/>
      <c r="H24" s="271"/>
      <c r="I24" s="291"/>
      <c r="J24" s="291"/>
      <c r="K24" s="291"/>
      <c r="L24" s="271"/>
      <c r="M24" s="291"/>
      <c r="N24" s="291"/>
      <c r="O24" s="264"/>
      <c r="P24" s="264"/>
      <c r="Q24" s="264"/>
      <c r="R24" s="264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</row>
    <row r="25" spans="1:31">
      <c r="A25" s="264"/>
      <c r="B25" s="264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91"/>
      <c r="N25" s="291"/>
      <c r="O25" s="264"/>
      <c r="P25" s="264"/>
      <c r="Q25" s="264"/>
      <c r="R25" s="264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</row>
    <row r="26" spans="1:31">
      <c r="A26" s="264"/>
      <c r="B26" s="264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91"/>
      <c r="N26" s="291"/>
      <c r="O26" s="264"/>
      <c r="P26" s="264"/>
      <c r="Q26" s="264"/>
      <c r="R26" s="264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</row>
    <row r="27" spans="1:31">
      <c r="A27" s="264"/>
      <c r="B27" s="264"/>
      <c r="C27" s="271"/>
      <c r="D27" s="271"/>
      <c r="E27" s="271"/>
      <c r="F27" s="271"/>
      <c r="G27" s="271"/>
      <c r="H27" s="271"/>
      <c r="I27" s="291"/>
      <c r="J27" s="291"/>
      <c r="K27" s="291"/>
      <c r="L27" s="271"/>
      <c r="M27" s="291"/>
      <c r="N27" s="291"/>
      <c r="O27" s="264"/>
      <c r="P27" s="264"/>
      <c r="Q27" s="264"/>
      <c r="R27" s="264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pans="1:31">
      <c r="A28" s="264"/>
      <c r="B28" s="264"/>
      <c r="C28" s="271"/>
      <c r="D28" s="271"/>
      <c r="E28" s="271"/>
      <c r="F28" s="271"/>
      <c r="G28" s="271"/>
      <c r="H28" s="271"/>
      <c r="I28" s="291"/>
      <c r="J28" s="291"/>
      <c r="K28" s="291"/>
      <c r="L28" s="271"/>
      <c r="M28" s="291"/>
      <c r="N28" s="291"/>
      <c r="O28" s="264"/>
      <c r="P28" s="264"/>
      <c r="Q28" s="264"/>
      <c r="R28" s="264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</row>
    <row r="29" spans="1:31">
      <c r="A29" s="264"/>
      <c r="B29" s="264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64"/>
      <c r="P29" s="264"/>
      <c r="Q29" s="264"/>
      <c r="R29" s="264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</row>
    <row r="30" spans="1:31">
      <c r="A30" s="264"/>
      <c r="B30" s="264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92"/>
      <c r="O30" s="264"/>
      <c r="P30" s="264"/>
      <c r="Q30" s="264"/>
      <c r="R30" s="264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</row>
    <row r="31" spans="1:31">
      <c r="A31" s="264"/>
      <c r="B31" s="264"/>
      <c r="C31" s="271"/>
      <c r="D31" s="271"/>
      <c r="E31" s="271"/>
      <c r="F31" s="271"/>
      <c r="G31" s="271"/>
      <c r="H31" s="271"/>
      <c r="I31" s="291"/>
      <c r="J31" s="291"/>
      <c r="K31" s="291"/>
      <c r="L31" s="271"/>
      <c r="M31" s="271"/>
      <c r="N31" s="271"/>
      <c r="O31" s="264"/>
      <c r="P31" s="264"/>
      <c r="Q31" s="264"/>
      <c r="R31" s="264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</row>
    <row r="32" spans="1:31">
      <c r="A32" s="264"/>
      <c r="B32" s="264"/>
      <c r="C32" s="271"/>
      <c r="D32" s="271"/>
      <c r="E32" s="271"/>
      <c r="F32" s="271"/>
      <c r="G32" s="271"/>
      <c r="H32" s="271"/>
      <c r="I32" s="291"/>
      <c r="J32" s="291"/>
      <c r="K32" s="291"/>
      <c r="L32" s="271"/>
      <c r="M32" s="271"/>
      <c r="N32" s="271"/>
      <c r="O32" s="264"/>
      <c r="P32" s="264"/>
      <c r="Q32" s="264"/>
      <c r="R32" s="264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</row>
    <row r="33" spans="1:31">
      <c r="A33" s="264"/>
      <c r="B33" s="264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64"/>
      <c r="P33" s="264"/>
      <c r="Q33" s="264"/>
      <c r="R33" s="264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</row>
    <row r="34" spans="1:31">
      <c r="A34" s="264"/>
      <c r="B34" s="264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92"/>
      <c r="O34" s="264"/>
      <c r="P34" s="264"/>
      <c r="Q34" s="264"/>
      <c r="R34" s="264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</row>
    <row r="35" spans="1:31">
      <c r="A35" s="264"/>
      <c r="B35" s="264"/>
      <c r="C35" s="271"/>
      <c r="D35" s="271"/>
      <c r="E35" s="271"/>
      <c r="F35" s="271"/>
      <c r="G35" s="271"/>
      <c r="H35" s="271"/>
      <c r="I35" s="291"/>
      <c r="J35" s="291"/>
      <c r="K35" s="291"/>
      <c r="L35" s="271"/>
      <c r="M35" s="271"/>
      <c r="N35" s="271"/>
      <c r="O35" s="264"/>
      <c r="P35" s="264"/>
      <c r="Q35" s="264"/>
      <c r="R35" s="264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</row>
    <row r="36" spans="1:31">
      <c r="A36" s="264"/>
      <c r="B36" s="264"/>
      <c r="C36" s="271"/>
      <c r="D36" s="271"/>
      <c r="E36" s="271"/>
      <c r="F36" s="271"/>
      <c r="G36" s="271"/>
      <c r="H36" s="271"/>
      <c r="I36" s="291"/>
      <c r="J36" s="291"/>
      <c r="K36" s="291"/>
      <c r="L36" s="271"/>
      <c r="M36" s="271"/>
      <c r="N36" s="271"/>
      <c r="O36" s="264"/>
      <c r="P36" s="264"/>
      <c r="Q36" s="264"/>
      <c r="R36" s="264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</row>
    <row r="37" spans="1:31">
      <c r="A37" s="264"/>
      <c r="B37" s="264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64"/>
      <c r="P37" s="264"/>
      <c r="Q37" s="264"/>
      <c r="R37" s="264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</row>
    <row r="38" spans="1:31">
      <c r="A38" s="264"/>
      <c r="B38" s="264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92"/>
      <c r="O38" s="264"/>
      <c r="P38" s="264"/>
      <c r="Q38" s="264"/>
      <c r="R38" s="264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</row>
    <row r="39" spans="1:31">
      <c r="A39" s="264"/>
      <c r="B39" s="264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64"/>
      <c r="P39" s="264"/>
      <c r="Q39" s="264"/>
      <c r="R39" s="264"/>
    </row>
    <row r="40" spans="1:31">
      <c r="A40" s="264"/>
      <c r="B40" s="264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64"/>
      <c r="P40" s="264"/>
      <c r="Q40" s="264"/>
      <c r="R40" s="264"/>
    </row>
    <row r="41" spans="1:31" ht="33" customHeight="1">
      <c r="A41" s="264"/>
      <c r="B41" s="264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64"/>
      <c r="P41" s="264"/>
      <c r="Q41" s="264"/>
      <c r="R41" s="264"/>
    </row>
    <row r="42" spans="1:31">
      <c r="A42" s="264"/>
      <c r="B42" s="264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64"/>
      <c r="P42" s="264"/>
      <c r="Q42" s="264"/>
      <c r="R42" s="264"/>
    </row>
    <row r="43" spans="1:31">
      <c r="A43" s="264"/>
      <c r="B43" s="264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64"/>
      <c r="P43" s="264"/>
      <c r="Q43" s="264"/>
      <c r="R43" s="264"/>
    </row>
    <row r="44" spans="1:31">
      <c r="A44" s="264"/>
      <c r="B44" s="264"/>
      <c r="C44" s="271"/>
      <c r="D44" s="271"/>
      <c r="E44" s="293"/>
      <c r="F44" s="271"/>
      <c r="G44" s="271"/>
      <c r="H44" s="271"/>
      <c r="I44" s="271"/>
      <c r="J44" s="271"/>
      <c r="K44" s="271"/>
      <c r="L44" s="271"/>
      <c r="M44" s="271"/>
      <c r="N44" s="271"/>
      <c r="O44" s="264"/>
      <c r="P44" s="264"/>
      <c r="Q44" s="264"/>
      <c r="R44" s="264"/>
    </row>
    <row r="45" spans="1:31">
      <c r="A45" s="264"/>
      <c r="B45" s="264"/>
      <c r="C45" s="271"/>
      <c r="D45" s="271"/>
      <c r="E45" s="294"/>
      <c r="F45" s="271"/>
      <c r="G45" s="271"/>
      <c r="H45" s="271"/>
      <c r="I45" s="271"/>
      <c r="J45" s="271"/>
      <c r="K45" s="271"/>
      <c r="L45" s="271"/>
      <c r="M45" s="271"/>
      <c r="N45" s="271"/>
      <c r="O45" s="264"/>
      <c r="P45" s="264"/>
      <c r="Q45" s="264"/>
      <c r="R45" s="264"/>
    </row>
    <row r="46" spans="1:31" ht="18" customHeight="1">
      <c r="A46" s="264"/>
      <c r="B46" s="264"/>
      <c r="C46" s="271"/>
      <c r="D46" s="271"/>
      <c r="E46" s="294"/>
      <c r="F46" s="271"/>
      <c r="G46" s="271"/>
      <c r="H46" s="271"/>
      <c r="I46" s="271"/>
      <c r="J46" s="271"/>
      <c r="K46" s="271"/>
      <c r="L46" s="271"/>
      <c r="M46" s="271"/>
      <c r="N46" s="271"/>
      <c r="O46" s="264"/>
      <c r="P46" s="264"/>
      <c r="Q46" s="264"/>
      <c r="R46" s="264"/>
    </row>
    <row r="47" spans="1:31">
      <c r="A47" s="264"/>
      <c r="B47" s="264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64"/>
      <c r="P47" s="264"/>
      <c r="Q47" s="264"/>
      <c r="R47" s="264"/>
    </row>
    <row r="48" spans="1:31">
      <c r="A48" s="264"/>
      <c r="B48" s="264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64"/>
      <c r="P48" s="264"/>
      <c r="Q48" s="264"/>
      <c r="R48" s="264"/>
    </row>
    <row r="61" spans="5:5" ht="15" hidden="1" customHeight="1"/>
    <row r="63" spans="5:5" hidden="1">
      <c r="E63" s="296"/>
    </row>
    <row r="85" spans="5:9" ht="18.75" hidden="1" customHeight="1">
      <c r="E85" s="298"/>
      <c r="F85" s="298"/>
      <c r="G85" s="298"/>
      <c r="H85" s="298"/>
      <c r="I85" s="298"/>
    </row>
    <row r="86" spans="5:9" ht="15" hidden="1" customHeight="1">
      <c r="E86" s="298"/>
      <c r="F86" s="298"/>
      <c r="G86" s="298"/>
      <c r="H86" s="298"/>
      <c r="I86" s="298"/>
    </row>
    <row r="87" spans="5:9" ht="15" hidden="1" customHeight="1">
      <c r="E87" s="298"/>
      <c r="F87" s="298"/>
      <c r="G87" s="298"/>
      <c r="H87" s="298"/>
      <c r="I87" s="298"/>
    </row>
    <row r="88" spans="5:9" ht="15" hidden="1" customHeight="1">
      <c r="E88" s="298"/>
      <c r="F88" s="298"/>
      <c r="G88" s="298"/>
      <c r="H88" s="298"/>
      <c r="I88" s="298"/>
    </row>
    <row r="89" spans="5:9" ht="15" hidden="1" customHeight="1">
      <c r="E89" s="298"/>
      <c r="F89" s="298"/>
      <c r="G89" s="298"/>
      <c r="H89" s="298"/>
      <c r="I89" s="298"/>
    </row>
  </sheetData>
  <sheetProtection algorithmName="SHA-512" hashValue="uAKHJrpMgeJNTl2xrDDOMXA6ZV6op6oOvI+QnVsg4oReMKahUXKhyGt/ZSg+s2a8rgmkjAVIB4mImINNofBoXg==" saltValue="OgwOxjN0o8xmbe1x0EYDRg==" spinCount="100000" sheet="1" objects="1" scenarios="1" selectLockedCells="1"/>
  <mergeCells count="13">
    <mergeCell ref="C19:D19"/>
    <mergeCell ref="M20:N20"/>
    <mergeCell ref="C16:D16"/>
    <mergeCell ref="F16:G16"/>
    <mergeCell ref="I16:J16"/>
    <mergeCell ref="M15:N15"/>
    <mergeCell ref="B1:E2"/>
    <mergeCell ref="C8:J8"/>
    <mergeCell ref="M8:N8"/>
    <mergeCell ref="C10:D10"/>
    <mergeCell ref="F10:G10"/>
    <mergeCell ref="I10:J10"/>
    <mergeCell ref="M10:N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6253-476B-4C05-B20A-08414236FEC1}">
  <sheetPr>
    <tabColor rgb="FF1C617A"/>
  </sheetPr>
  <dimension ref="A1:AL241"/>
  <sheetViews>
    <sheetView showGridLines="0" showRowColHeaders="0" zoomScaleNormal="100" workbookViewId="0">
      <pane ySplit="3" topLeftCell="A4" activePane="bottomLeft" state="frozen"/>
      <selection activeCell="M5" sqref="M5"/>
      <selection pane="bottomLeft"/>
    </sheetView>
  </sheetViews>
  <sheetFormatPr defaultColWidth="0" defaultRowHeight="16.8" zeroHeight="1"/>
  <cols>
    <col min="1" max="1" width="13" style="474" customWidth="1"/>
    <col min="2" max="2" width="12.88671875" style="295" customWidth="1"/>
    <col min="3" max="3" width="11.88671875" style="295" customWidth="1"/>
    <col min="4" max="4" width="12.88671875" style="295" customWidth="1"/>
    <col min="5" max="5" width="13" style="295" bestFit="1" customWidth="1"/>
    <col min="6" max="6" width="14" style="295" bestFit="1" customWidth="1"/>
    <col min="7" max="7" width="10.88671875" style="295" customWidth="1"/>
    <col min="8" max="8" width="9.109375" style="295" customWidth="1"/>
    <col min="9" max="9" width="10.44140625" style="295" customWidth="1"/>
    <col min="10" max="10" width="13.88671875" style="295" customWidth="1"/>
    <col min="11" max="11" width="13" style="295" bestFit="1" customWidth="1"/>
    <col min="12" max="12" width="13.5546875" style="295" customWidth="1"/>
    <col min="13" max="13" width="12.33203125" style="295" bestFit="1" customWidth="1"/>
    <col min="14" max="14" width="13.44140625" style="295" bestFit="1" customWidth="1"/>
    <col min="15" max="15" width="13.5546875" style="295" bestFit="1" customWidth="1"/>
    <col min="16" max="16" width="11.33203125" style="295" customWidth="1"/>
    <col min="17" max="17" width="9.33203125" style="295" bestFit="1" customWidth="1"/>
    <col min="18" max="18" width="15.33203125" style="295" customWidth="1"/>
    <col min="19" max="20" width="9.109375" style="295" customWidth="1"/>
    <col min="21" max="21" width="12" style="295" customWidth="1"/>
    <col min="22" max="22" width="10.88671875" style="295" bestFit="1" customWidth="1"/>
    <col min="23" max="23" width="12.109375" style="295" bestFit="1" customWidth="1"/>
    <col min="24" max="26" width="9.109375" style="295" customWidth="1"/>
    <col min="27" max="27" width="9.109375" hidden="1" customWidth="1"/>
    <col min="28" max="28" width="11.6640625" hidden="1" customWidth="1"/>
    <col min="29" max="38" width="0" hidden="1" customWidth="1"/>
    <col min="39" max="16384" width="9.109375" hidden="1"/>
  </cols>
  <sheetData>
    <row r="1" spans="1:26" ht="9.9" customHeight="1">
      <c r="A1" s="302"/>
      <c r="B1" s="766"/>
      <c r="C1" s="766"/>
      <c r="D1" s="766"/>
      <c r="E1" s="766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</row>
    <row r="2" spans="1:26" ht="16.5" customHeight="1">
      <c r="A2" s="302"/>
      <c r="B2" s="766"/>
      <c r="C2" s="766"/>
      <c r="D2" s="766"/>
      <c r="E2" s="766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</row>
    <row r="3" spans="1:26" ht="9.9" customHeight="1">
      <c r="A3" s="302"/>
      <c r="B3" s="297"/>
      <c r="C3" s="297"/>
      <c r="D3" s="297"/>
      <c r="E3" s="297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</row>
    <row r="4" spans="1:26" ht="30" customHeight="1">
      <c r="A4" s="302"/>
      <c r="B4" s="271"/>
      <c r="C4" s="554" t="s">
        <v>300</v>
      </c>
      <c r="D4" s="303"/>
      <c r="E4" s="304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</row>
    <row r="5" spans="1:26">
      <c r="A5" s="305"/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</row>
    <row r="6" spans="1:26">
      <c r="A6" s="305"/>
      <c r="B6" s="293"/>
      <c r="C6" s="744" t="s">
        <v>82</v>
      </c>
      <c r="D6" s="744"/>
      <c r="E6" s="744"/>
      <c r="F6" s="744"/>
      <c r="G6" s="744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</row>
    <row r="7" spans="1:26" ht="15" customHeight="1">
      <c r="A7" s="305"/>
      <c r="B7" s="293"/>
      <c r="C7" s="346" t="s">
        <v>63</v>
      </c>
      <c r="D7" s="347" t="s">
        <v>67</v>
      </c>
      <c r="E7" s="347" t="s">
        <v>458</v>
      </c>
      <c r="F7" s="347" t="s">
        <v>315</v>
      </c>
      <c r="G7" s="347" t="s">
        <v>459</v>
      </c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</row>
    <row r="8" spans="1:26" ht="15" customHeight="1">
      <c r="A8" s="305"/>
      <c r="B8" s="293"/>
      <c r="C8" s="350" t="s">
        <v>42</v>
      </c>
      <c r="D8" s="480">
        <v>1.4</v>
      </c>
      <c r="E8" s="480" t="s">
        <v>64</v>
      </c>
      <c r="F8" s="480" t="s">
        <v>64</v>
      </c>
      <c r="G8" s="480" t="s">
        <v>64</v>
      </c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3"/>
    </row>
    <row r="9" spans="1:26" ht="15" customHeight="1">
      <c r="A9" s="305"/>
      <c r="B9" s="293"/>
      <c r="C9" s="350" t="s">
        <v>65</v>
      </c>
      <c r="D9" s="480">
        <v>1.5</v>
      </c>
      <c r="E9" s="480">
        <v>0.5</v>
      </c>
      <c r="F9" s="480">
        <v>0.4</v>
      </c>
      <c r="G9" s="480">
        <v>0.3</v>
      </c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</row>
    <row r="10" spans="1:26">
      <c r="A10" s="305"/>
      <c r="B10" s="293"/>
      <c r="C10" s="350" t="s">
        <v>66</v>
      </c>
      <c r="D10" s="480">
        <v>1.4</v>
      </c>
      <c r="E10" s="480">
        <v>0.6</v>
      </c>
      <c r="F10" s="480">
        <v>0.3</v>
      </c>
      <c r="G10" s="480">
        <v>0</v>
      </c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</row>
    <row r="11" spans="1:26">
      <c r="A11" s="305"/>
      <c r="B11" s="293"/>
      <c r="C11" s="293"/>
      <c r="D11" s="293"/>
      <c r="E11" s="293"/>
      <c r="F11" s="293"/>
      <c r="G11" s="293"/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</row>
    <row r="12" spans="1:26">
      <c r="A12" s="305"/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</row>
    <row r="13" spans="1:26">
      <c r="A13" s="305"/>
      <c r="B13" s="293"/>
      <c r="C13" s="767" t="s">
        <v>78</v>
      </c>
      <c r="D13" s="767"/>
      <c r="E13" s="767"/>
      <c r="F13" s="767"/>
      <c r="G13" s="767"/>
      <c r="H13" s="767"/>
      <c r="I13" s="767"/>
      <c r="J13" s="767"/>
      <c r="K13" s="767"/>
      <c r="L13" s="767"/>
      <c r="M13" s="767"/>
      <c r="N13" s="293"/>
      <c r="O13" s="293"/>
      <c r="P13" s="293"/>
      <c r="Q13" s="293"/>
      <c r="R13" s="293"/>
      <c r="S13" s="293"/>
      <c r="T13" s="293"/>
      <c r="U13" s="293"/>
      <c r="V13" s="293"/>
      <c r="W13" s="293"/>
      <c r="X13" s="293"/>
      <c r="Y13" s="293"/>
      <c r="Z13" s="293"/>
    </row>
    <row r="14" spans="1:26">
      <c r="A14" s="305"/>
      <c r="B14" s="293"/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</row>
    <row r="15" spans="1:26">
      <c r="A15" s="305"/>
      <c r="B15" s="293"/>
      <c r="C15" s="768" t="s">
        <v>74</v>
      </c>
      <c r="D15" s="754"/>
      <c r="E15" s="754"/>
      <c r="F15" s="754"/>
      <c r="G15" s="293"/>
      <c r="H15" s="293"/>
      <c r="I15" s="769" t="s">
        <v>78</v>
      </c>
      <c r="J15" s="770" t="s">
        <v>256</v>
      </c>
      <c r="K15" s="771"/>
      <c r="L15" s="770" t="s">
        <v>257</v>
      </c>
      <c r="M15" s="770"/>
      <c r="N15" s="293"/>
      <c r="O15" s="293"/>
      <c r="P15" s="293"/>
      <c r="Q15" s="293"/>
      <c r="R15" s="293"/>
      <c r="S15" s="293"/>
      <c r="T15" s="293"/>
      <c r="U15" s="293"/>
      <c r="V15" s="293"/>
      <c r="W15" s="293"/>
      <c r="X15" s="293"/>
      <c r="Y15" s="293"/>
      <c r="Z15" s="293"/>
    </row>
    <row r="16" spans="1:26">
      <c r="A16" s="305"/>
      <c r="B16" s="293"/>
      <c r="C16" s="755" t="s">
        <v>72</v>
      </c>
      <c r="D16" s="757"/>
      <c r="E16" s="756" t="s">
        <v>73</v>
      </c>
      <c r="F16" s="757"/>
      <c r="G16" s="293"/>
      <c r="H16" s="293"/>
      <c r="I16" s="769"/>
      <c r="J16" s="358" t="s">
        <v>477</v>
      </c>
      <c r="K16" s="357" t="s">
        <v>130</v>
      </c>
      <c r="L16" s="356" t="s">
        <v>477</v>
      </c>
      <c r="M16" s="358" t="s">
        <v>130</v>
      </c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</row>
    <row r="17" spans="1:26">
      <c r="A17" s="306"/>
      <c r="B17" s="307"/>
      <c r="C17" s="749" t="s">
        <v>68</v>
      </c>
      <c r="D17" s="750"/>
      <c r="E17" s="749" t="s">
        <v>68</v>
      </c>
      <c r="F17" s="749"/>
      <c r="G17" s="293"/>
      <c r="H17" s="293"/>
      <c r="I17" s="481" t="s">
        <v>128</v>
      </c>
      <c r="J17" s="334">
        <f>AXB!J76</f>
        <v>4.0992838310801596E-2</v>
      </c>
      <c r="K17" s="355" t="s">
        <v>64</v>
      </c>
      <c r="L17" s="334">
        <f>AXB!N76</f>
        <v>0.13587513822119629</v>
      </c>
      <c r="M17" s="334" t="s">
        <v>64</v>
      </c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</row>
    <row r="18" spans="1:26">
      <c r="A18" s="306"/>
      <c r="B18" s="307"/>
      <c r="C18" s="330" t="s">
        <v>460</v>
      </c>
      <c r="D18" s="348">
        <f>CRG!D13*D8+CRG!N17*D9</f>
        <v>0.30821682940452333</v>
      </c>
      <c r="E18" s="330" t="s">
        <v>460</v>
      </c>
      <c r="F18" s="331">
        <f>CRG!D14*D8+CRG!N18*D9+CRG!N21*D10*E10</f>
        <v>1.0216175806104986</v>
      </c>
      <c r="G18" s="293"/>
      <c r="H18" s="293"/>
      <c r="I18" s="482" t="s">
        <v>129</v>
      </c>
      <c r="J18" s="360">
        <f>AXB!H81</f>
        <v>7.1737467043902796E-3</v>
      </c>
      <c r="K18" s="361" t="s">
        <v>64</v>
      </c>
      <c r="L18" s="360">
        <f>AXB!L81</f>
        <v>2.3778149188709349E-2</v>
      </c>
      <c r="M18" s="360" t="s">
        <v>64</v>
      </c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</row>
    <row r="19" spans="1:26">
      <c r="A19" s="306"/>
      <c r="B19" s="307"/>
      <c r="C19" s="330" t="s">
        <v>461</v>
      </c>
      <c r="D19" s="348">
        <f>D18*J25</f>
        <v>0.11712239517371886</v>
      </c>
      <c r="E19" s="353" t="s">
        <v>462</v>
      </c>
      <c r="F19" s="354">
        <f>F18*J25</f>
        <v>0.38821468063198944</v>
      </c>
      <c r="G19" s="307"/>
      <c r="H19" s="293"/>
      <c r="I19" s="483" t="s">
        <v>128</v>
      </c>
      <c r="J19" s="751">
        <f>J17</f>
        <v>4.0992838310801596E-2</v>
      </c>
      <c r="K19" s="752"/>
      <c r="L19" s="751">
        <f>L17</f>
        <v>0.13587513822119629</v>
      </c>
      <c r="M19" s="751"/>
      <c r="N19" s="293"/>
      <c r="O19" s="293"/>
      <c r="P19" s="293"/>
      <c r="Q19" s="293"/>
      <c r="R19" s="293"/>
      <c r="S19" s="293"/>
      <c r="T19" s="293"/>
      <c r="U19" s="293"/>
      <c r="V19" s="293"/>
      <c r="W19" s="293"/>
      <c r="X19" s="293"/>
      <c r="Y19" s="293"/>
      <c r="Z19" s="293"/>
    </row>
    <row r="20" spans="1:26">
      <c r="A20" s="305"/>
      <c r="B20" s="293"/>
      <c r="C20" s="332"/>
      <c r="D20" s="349"/>
      <c r="E20" s="753" t="s">
        <v>71</v>
      </c>
      <c r="F20" s="753"/>
      <c r="G20" s="293"/>
      <c r="H20" s="293"/>
      <c r="I20" s="483" t="s">
        <v>129</v>
      </c>
      <c r="J20" s="751">
        <f>J18</f>
        <v>7.1737467043902796E-3</v>
      </c>
      <c r="K20" s="752"/>
      <c r="L20" s="751">
        <f>L18</f>
        <v>2.3778149188709349E-2</v>
      </c>
      <c r="M20" s="751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</row>
    <row r="21" spans="1:26">
      <c r="A21" s="305"/>
      <c r="B21" s="293"/>
      <c r="C21" s="332"/>
      <c r="D21" s="349"/>
      <c r="E21" s="330" t="s">
        <v>460</v>
      </c>
      <c r="F21" s="331">
        <f>CRG!D14*D8+CRG!N21*D10*0.75+CRG!N18*D9*E9</f>
        <v>0.84976002473663337</v>
      </c>
      <c r="G21" s="293"/>
      <c r="H21" s="293"/>
      <c r="I21" s="293"/>
      <c r="J21" s="776"/>
      <c r="K21" s="776"/>
      <c r="L21" s="776"/>
      <c r="M21" s="776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</row>
    <row r="22" spans="1:26">
      <c r="A22" s="305"/>
      <c r="B22" s="293"/>
      <c r="C22" s="332"/>
      <c r="D22" s="349"/>
      <c r="E22" s="330" t="s">
        <v>462</v>
      </c>
      <c r="F22" s="331">
        <f>F21*J25</f>
        <v>0.32290880939992067</v>
      </c>
      <c r="G22" s="307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</row>
    <row r="23" spans="1:26">
      <c r="A23" s="305"/>
      <c r="B23" s="293"/>
      <c r="C23" s="332"/>
      <c r="D23" s="349"/>
      <c r="E23" s="330"/>
      <c r="F23" s="333"/>
      <c r="G23" s="293"/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293"/>
    </row>
    <row r="24" spans="1:26">
      <c r="A24" s="305"/>
      <c r="B24" s="293"/>
      <c r="C24" s="777" t="s">
        <v>76</v>
      </c>
      <c r="D24" s="778"/>
      <c r="E24" s="778"/>
      <c r="F24" s="779"/>
      <c r="G24" s="293"/>
      <c r="H24" s="293"/>
      <c r="I24" s="744" t="s">
        <v>187</v>
      </c>
      <c r="J24" s="744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293"/>
      <c r="Z24" s="293"/>
    </row>
    <row r="25" spans="1:26">
      <c r="A25" s="305"/>
      <c r="B25" s="307"/>
      <c r="C25" s="351" t="s">
        <v>461</v>
      </c>
      <c r="D25" s="352">
        <f>D19</f>
        <v>0.11712239517371886</v>
      </c>
      <c r="E25" s="351" t="s">
        <v>462</v>
      </c>
      <c r="F25" s="338">
        <f>IF(F19&gt;=F22,F19,F22)</f>
        <v>0.38821468063198944</v>
      </c>
      <c r="G25" s="307"/>
      <c r="H25" s="293"/>
      <c r="I25" s="323" t="s">
        <v>188</v>
      </c>
      <c r="J25" s="362">
        <f>DSB!C29</f>
        <v>0.38</v>
      </c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</row>
    <row r="26" spans="1:26">
      <c r="A26" s="305"/>
      <c r="B26" s="293"/>
      <c r="C26" s="293"/>
      <c r="D26" s="293"/>
      <c r="E26" s="289"/>
      <c r="F26" s="308"/>
      <c r="G26" s="293"/>
      <c r="H26" s="293"/>
      <c r="I26" s="293"/>
      <c r="J26" s="293"/>
      <c r="K26" s="293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3"/>
    </row>
    <row r="27" spans="1:26">
      <c r="A27" s="305"/>
      <c r="B27" s="764" t="s">
        <v>255</v>
      </c>
      <c r="C27" s="764"/>
      <c r="D27" s="765"/>
      <c r="E27" s="772" t="s">
        <v>211</v>
      </c>
      <c r="F27" s="773"/>
      <c r="G27" s="773"/>
      <c r="H27" s="289"/>
      <c r="I27" s="312"/>
      <c r="J27" s="310"/>
      <c r="K27" s="289"/>
      <c r="L27" s="313"/>
      <c r="M27" s="310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</row>
    <row r="28" spans="1:26">
      <c r="A28" s="305"/>
      <c r="B28" s="293"/>
      <c r="C28" s="293"/>
      <c r="D28" s="366"/>
      <c r="E28" s="289"/>
      <c r="F28" s="308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3"/>
      <c r="W28" s="293"/>
      <c r="X28" s="293"/>
      <c r="Y28" s="293"/>
      <c r="Z28" s="293"/>
    </row>
    <row r="29" spans="1:26">
      <c r="A29" s="305"/>
      <c r="B29" s="293"/>
      <c r="C29" s="293"/>
      <c r="D29" s="366"/>
      <c r="E29" s="289"/>
      <c r="F29" s="308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</row>
    <row r="30" spans="1:26">
      <c r="A30" s="305"/>
      <c r="B30" s="293"/>
      <c r="C30" s="293"/>
      <c r="D30" s="366"/>
      <c r="E30" s="289"/>
      <c r="F30" s="308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  <c r="W30" s="293"/>
      <c r="X30" s="293"/>
      <c r="Y30" s="293"/>
      <c r="Z30" s="293"/>
    </row>
    <row r="31" spans="1:26">
      <c r="A31" s="305"/>
      <c r="B31" s="293"/>
      <c r="C31" s="293"/>
      <c r="D31" s="366"/>
      <c r="E31" s="289"/>
      <c r="F31" s="308"/>
      <c r="G31" s="293"/>
      <c r="H31" s="293"/>
      <c r="I31" s="293"/>
      <c r="J31" s="293"/>
      <c r="K31" s="293"/>
      <c r="L31" s="293"/>
      <c r="M31" s="293"/>
      <c r="N31" s="293"/>
      <c r="O31" s="293"/>
      <c r="P31" s="293"/>
      <c r="Q31" s="293"/>
      <c r="R31" s="293"/>
      <c r="S31" s="293"/>
      <c r="T31" s="293"/>
      <c r="U31" s="293"/>
      <c r="V31" s="293"/>
      <c r="W31" s="293"/>
      <c r="X31" s="293"/>
      <c r="Y31" s="293"/>
      <c r="Z31" s="293"/>
    </row>
    <row r="32" spans="1:26">
      <c r="A32" s="305"/>
      <c r="B32" s="293"/>
      <c r="C32" s="293"/>
      <c r="D32" s="366"/>
      <c r="E32" s="289"/>
      <c r="F32" s="308"/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3"/>
      <c r="Z32" s="293"/>
    </row>
    <row r="33" spans="1:26">
      <c r="A33" s="305"/>
      <c r="B33" s="293"/>
      <c r="C33" s="293"/>
      <c r="D33" s="366"/>
      <c r="E33" s="289"/>
      <c r="F33" s="308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</row>
    <row r="34" spans="1:26">
      <c r="A34" s="305"/>
      <c r="B34" s="293"/>
      <c r="C34" s="293"/>
      <c r="D34" s="366"/>
      <c r="E34" s="289"/>
      <c r="F34" s="308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</row>
    <row r="35" spans="1:26">
      <c r="A35" s="305"/>
      <c r="B35" s="293"/>
      <c r="C35" s="293"/>
      <c r="D35" s="366"/>
      <c r="E35" s="289"/>
      <c r="F35" s="308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3"/>
      <c r="V35" s="293"/>
      <c r="W35" s="293"/>
      <c r="X35" s="293"/>
      <c r="Y35" s="293"/>
      <c r="Z35" s="293"/>
    </row>
    <row r="36" spans="1:26">
      <c r="A36" s="305"/>
      <c r="B36" s="293"/>
      <c r="C36" s="293"/>
      <c r="D36" s="366"/>
      <c r="E36" s="289"/>
      <c r="F36" s="308"/>
      <c r="G36" s="293"/>
      <c r="H36" s="293"/>
      <c r="I36" s="293"/>
      <c r="J36" s="293"/>
      <c r="K36" s="293"/>
      <c r="L36" s="293"/>
      <c r="M36" s="293"/>
      <c r="N36" s="293"/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93"/>
      <c r="Z36" s="293"/>
    </row>
    <row r="37" spans="1:26">
      <c r="A37" s="305"/>
      <c r="B37" s="293"/>
      <c r="C37" s="293"/>
      <c r="D37" s="366"/>
      <c r="E37" s="289"/>
      <c r="F37" s="308"/>
      <c r="G37" s="293"/>
      <c r="H37" s="293"/>
      <c r="I37" s="293"/>
      <c r="J37" s="293"/>
      <c r="K37" s="293"/>
      <c r="L37" s="293"/>
      <c r="M37" s="293"/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</row>
    <row r="38" spans="1:26">
      <c r="A38" s="305"/>
      <c r="B38" s="293"/>
      <c r="C38" s="293"/>
      <c r="D38" s="366"/>
      <c r="E38" s="289"/>
      <c r="F38" s="308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</row>
    <row r="39" spans="1:26">
      <c r="A39" s="305"/>
      <c r="B39" s="293"/>
      <c r="C39" s="293"/>
      <c r="D39" s="366"/>
      <c r="E39" s="289"/>
      <c r="F39" s="308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</row>
    <row r="40" spans="1:26">
      <c r="A40" s="305"/>
      <c r="B40" s="293"/>
      <c r="C40" s="293"/>
      <c r="D40" s="366"/>
      <c r="E40" s="289"/>
      <c r="F40" s="308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</row>
    <row r="41" spans="1:26">
      <c r="A41" s="305"/>
      <c r="B41" s="293"/>
      <c r="C41" s="293"/>
      <c r="D41" s="366"/>
      <c r="E41" s="289"/>
      <c r="F41" s="308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</row>
    <row r="42" spans="1:26">
      <c r="A42" s="305"/>
      <c r="B42" s="293"/>
      <c r="C42" s="293"/>
      <c r="D42" s="366"/>
      <c r="E42" s="289"/>
      <c r="F42" s="308"/>
      <c r="G42" s="293"/>
      <c r="H42" s="293"/>
      <c r="I42" s="293"/>
      <c r="J42" s="293"/>
      <c r="K42" s="293"/>
      <c r="L42" s="293"/>
      <c r="M42" s="293"/>
      <c r="N42" s="293"/>
      <c r="O42" s="293"/>
      <c r="P42" s="293"/>
      <c r="Q42" s="293"/>
      <c r="R42" s="293"/>
      <c r="S42" s="293"/>
      <c r="T42" s="293"/>
      <c r="U42" s="293"/>
      <c r="V42" s="293"/>
      <c r="W42" s="293"/>
      <c r="X42" s="293"/>
      <c r="Y42" s="293"/>
      <c r="Z42" s="293"/>
    </row>
    <row r="43" spans="1:26">
      <c r="A43" s="305"/>
      <c r="B43" s="293"/>
      <c r="C43" s="293"/>
      <c r="D43" s="366"/>
      <c r="E43" s="289"/>
      <c r="F43" s="308"/>
      <c r="G43" s="293"/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3"/>
    </row>
    <row r="44" spans="1:26">
      <c r="A44" s="305"/>
      <c r="B44" s="293"/>
      <c r="C44" s="293"/>
      <c r="D44" s="293"/>
      <c r="E44" s="289"/>
      <c r="F44" s="308"/>
      <c r="G44" s="293"/>
      <c r="H44" s="293"/>
      <c r="I44" s="293"/>
      <c r="J44" s="293"/>
      <c r="K44" s="293"/>
      <c r="L44" s="293"/>
      <c r="M44" s="289"/>
      <c r="N44" s="308"/>
      <c r="O44" s="293"/>
      <c r="P44" s="293"/>
      <c r="Q44" s="293"/>
      <c r="R44" s="293"/>
      <c r="S44" s="293"/>
      <c r="T44" s="293"/>
      <c r="U44" s="293"/>
      <c r="V44" s="293"/>
      <c r="W44" s="293"/>
      <c r="X44" s="293"/>
      <c r="Y44" s="293"/>
      <c r="Z44" s="293"/>
    </row>
    <row r="45" spans="1:26">
      <c r="A45" s="305"/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</row>
    <row r="46" spans="1:26">
      <c r="A46" s="305"/>
      <c r="B46" s="293"/>
      <c r="C46" s="754" t="s">
        <v>333</v>
      </c>
      <c r="D46" s="754"/>
      <c r="E46" s="754"/>
      <c r="F46" s="754"/>
      <c r="G46" s="754"/>
      <c r="H46" s="754"/>
      <c r="I46" s="293"/>
      <c r="J46" s="293"/>
      <c r="K46" s="754" t="s">
        <v>334</v>
      </c>
      <c r="L46" s="754"/>
      <c r="M46" s="754"/>
      <c r="N46" s="754"/>
      <c r="O46" s="293"/>
      <c r="P46" s="293"/>
      <c r="Q46" s="293"/>
      <c r="R46" s="293"/>
      <c r="S46" s="293"/>
      <c r="T46" s="293"/>
      <c r="U46" s="293"/>
      <c r="V46" s="293"/>
      <c r="W46" s="293"/>
      <c r="X46" s="293"/>
      <c r="Y46" s="293"/>
      <c r="Z46" s="293"/>
    </row>
    <row r="47" spans="1:26">
      <c r="A47" s="305"/>
      <c r="B47" s="293"/>
      <c r="C47" s="755" t="s">
        <v>72</v>
      </c>
      <c r="D47" s="757"/>
      <c r="E47" s="756" t="s">
        <v>73</v>
      </c>
      <c r="F47" s="756"/>
      <c r="G47" s="756"/>
      <c r="H47" s="757"/>
      <c r="I47" s="293"/>
      <c r="J47" s="293"/>
      <c r="K47" s="755" t="s">
        <v>72</v>
      </c>
      <c r="L47" s="756"/>
      <c r="M47" s="755" t="s">
        <v>73</v>
      </c>
      <c r="N47" s="757"/>
      <c r="O47" s="293"/>
      <c r="P47" s="293"/>
      <c r="Q47" s="293"/>
      <c r="R47" s="293"/>
      <c r="S47" s="293"/>
      <c r="T47" s="293"/>
      <c r="U47" s="293"/>
      <c r="V47" s="293"/>
      <c r="W47" s="293"/>
      <c r="X47" s="293"/>
      <c r="Y47" s="293"/>
      <c r="Z47" s="293"/>
    </row>
    <row r="48" spans="1:26">
      <c r="A48" s="305"/>
      <c r="B48" s="293"/>
      <c r="C48" s="782" t="s">
        <v>68</v>
      </c>
      <c r="D48" s="750"/>
      <c r="E48" s="749" t="s">
        <v>331</v>
      </c>
      <c r="F48" s="749"/>
      <c r="G48" s="749" t="s">
        <v>332</v>
      </c>
      <c r="H48" s="785"/>
      <c r="I48" s="293"/>
      <c r="J48" s="293"/>
      <c r="K48" s="749" t="s">
        <v>68</v>
      </c>
      <c r="L48" s="750"/>
      <c r="M48" s="749" t="s">
        <v>68</v>
      </c>
      <c r="N48" s="749"/>
      <c r="O48" s="293"/>
      <c r="P48" s="293"/>
      <c r="Q48" s="293"/>
      <c r="R48" s="293"/>
      <c r="S48" s="293"/>
      <c r="T48" s="293"/>
      <c r="U48" s="293"/>
      <c r="V48" s="293"/>
      <c r="W48" s="293"/>
      <c r="X48" s="293"/>
      <c r="Y48" s="293"/>
      <c r="Z48" s="293"/>
    </row>
    <row r="49" spans="1:26">
      <c r="A49" s="305"/>
      <c r="B49" s="307"/>
      <c r="C49" s="363" t="s">
        <v>460</v>
      </c>
      <c r="D49" s="348">
        <f>CRG!D13+CRG!N17</f>
        <v>0.2152169209313104</v>
      </c>
      <c r="E49" s="323" t="s">
        <v>460</v>
      </c>
      <c r="F49" s="335">
        <f>CRG!D14+CRG!N18+F10*CRG!N21</f>
        <v>0.71335945701951187</v>
      </c>
      <c r="G49" s="786">
        <f>CRG!D14+CRG!N21+CRG!N13*CMB!F9</f>
        <v>0.57995390122789992</v>
      </c>
      <c r="H49" s="787"/>
      <c r="I49" s="293"/>
      <c r="J49" s="307"/>
      <c r="K49" s="323" t="s">
        <v>460</v>
      </c>
      <c r="L49" s="365">
        <f>(CRG!D13+CRG!N17*G9)*(1+RST!E10)</f>
        <v>0.26691990436238194</v>
      </c>
      <c r="M49" s="323" t="s">
        <v>460</v>
      </c>
      <c r="N49" s="335">
        <f>(CRG!D14+CRG!N18*G9)*(1+RST!E10)</f>
        <v>0.88473451445958029</v>
      </c>
      <c r="O49" s="307"/>
      <c r="P49" s="293"/>
      <c r="Q49" s="293"/>
      <c r="R49" s="293"/>
      <c r="S49" s="293"/>
      <c r="T49" s="293"/>
      <c r="U49" s="293"/>
      <c r="V49" s="293"/>
      <c r="W49" s="293"/>
      <c r="X49" s="293"/>
      <c r="Y49" s="293"/>
      <c r="Z49" s="293"/>
    </row>
    <row r="50" spans="1:26">
      <c r="A50" s="305"/>
      <c r="B50" s="293"/>
      <c r="C50" s="755" t="s">
        <v>76</v>
      </c>
      <c r="D50" s="756"/>
      <c r="E50" s="756"/>
      <c r="F50" s="756"/>
      <c r="G50" s="756"/>
      <c r="H50" s="757"/>
      <c r="I50" s="293"/>
      <c r="J50" s="293"/>
      <c r="K50" s="755" t="s">
        <v>76</v>
      </c>
      <c r="L50" s="756"/>
      <c r="M50" s="756"/>
      <c r="N50" s="757"/>
      <c r="O50" s="293"/>
      <c r="P50" s="293"/>
      <c r="Q50" s="293"/>
      <c r="R50" s="293"/>
      <c r="S50" s="293"/>
      <c r="T50" s="293"/>
      <c r="U50" s="293"/>
      <c r="V50" s="293"/>
      <c r="W50" s="293"/>
      <c r="X50" s="293"/>
      <c r="Y50" s="293"/>
      <c r="Z50" s="293"/>
    </row>
    <row r="51" spans="1:26">
      <c r="A51" s="305"/>
      <c r="B51" s="293"/>
      <c r="C51" s="323" t="s">
        <v>461</v>
      </c>
      <c r="D51" s="364">
        <f>D49*J25</f>
        <v>8.178242995389795E-2</v>
      </c>
      <c r="E51" s="323" t="s">
        <v>462</v>
      </c>
      <c r="F51" s="761">
        <f>(IF(F49&gt;=G49,F49,G49))*J25</f>
        <v>0.27107659366741449</v>
      </c>
      <c r="G51" s="761"/>
      <c r="H51" s="761"/>
      <c r="I51" s="293"/>
      <c r="J51" s="293"/>
      <c r="K51" s="323" t="s">
        <v>461</v>
      </c>
      <c r="L51" s="364">
        <f>L49*J25</f>
        <v>0.10142956365770514</v>
      </c>
      <c r="M51" s="323" t="s">
        <v>462</v>
      </c>
      <c r="N51" s="335">
        <f>N49*J25</f>
        <v>0.33619911549464049</v>
      </c>
      <c r="O51" s="293"/>
      <c r="P51" s="293"/>
      <c r="Q51" s="293"/>
      <c r="R51" s="293"/>
      <c r="S51" s="293"/>
      <c r="T51" s="293"/>
      <c r="U51" s="293"/>
      <c r="V51" s="293"/>
      <c r="W51" s="293"/>
      <c r="X51" s="293"/>
      <c r="Y51" s="293"/>
      <c r="Z51" s="293"/>
    </row>
    <row r="52" spans="1:26">
      <c r="A52" s="305"/>
      <c r="B52" s="293"/>
      <c r="C52" s="289"/>
      <c r="D52" s="314"/>
      <c r="E52" s="289"/>
      <c r="F52" s="314"/>
      <c r="G52" s="293"/>
      <c r="H52" s="293"/>
      <c r="I52" s="293"/>
      <c r="J52" s="293"/>
      <c r="K52" s="289"/>
      <c r="L52" s="314"/>
      <c r="M52" s="289"/>
      <c r="N52" s="314"/>
      <c r="O52" s="293"/>
      <c r="P52" s="293"/>
      <c r="Q52" s="293"/>
      <c r="R52" s="293"/>
      <c r="S52" s="293"/>
      <c r="T52" s="293"/>
      <c r="U52" s="293"/>
      <c r="V52" s="293"/>
      <c r="W52" s="293"/>
      <c r="X52" s="293"/>
      <c r="Y52" s="293"/>
      <c r="Z52" s="293"/>
    </row>
    <row r="53" spans="1:26">
      <c r="A53" s="305"/>
      <c r="B53" s="293"/>
      <c r="C53" s="289"/>
      <c r="D53" s="314"/>
      <c r="E53" s="289"/>
      <c r="F53" s="314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  <c r="X53" s="293"/>
      <c r="Y53" s="293"/>
      <c r="Z53" s="293"/>
    </row>
    <row r="54" spans="1:26">
      <c r="A54" s="305"/>
      <c r="B54" s="293"/>
      <c r="C54" s="293"/>
      <c r="D54" s="293"/>
      <c r="E54" s="289"/>
      <c r="F54" s="315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93"/>
      <c r="T54" s="293"/>
      <c r="U54" s="293"/>
      <c r="V54" s="293"/>
      <c r="W54" s="293"/>
      <c r="X54" s="293"/>
      <c r="Y54" s="293"/>
      <c r="Z54" s="293"/>
    </row>
    <row r="55" spans="1:26">
      <c r="A55" s="305"/>
      <c r="B55" s="293"/>
      <c r="C55" s="767" t="s">
        <v>83</v>
      </c>
      <c r="D55" s="767"/>
      <c r="E55" s="767"/>
      <c r="F55" s="767"/>
      <c r="G55" s="767"/>
      <c r="H55" s="767"/>
      <c r="I55" s="767"/>
      <c r="J55" s="767"/>
      <c r="K55" s="767"/>
      <c r="L55" s="767"/>
      <c r="M55" s="767"/>
      <c r="N55" s="767"/>
      <c r="O55" s="767"/>
      <c r="P55" s="767"/>
      <c r="Q55" s="767"/>
      <c r="R55" s="767"/>
      <c r="S55" s="293"/>
      <c r="T55" s="293"/>
      <c r="U55" s="293"/>
      <c r="V55" s="293"/>
      <c r="W55" s="293"/>
      <c r="X55" s="293"/>
      <c r="Y55" s="293"/>
      <c r="Z55" s="293"/>
    </row>
    <row r="56" spans="1:26">
      <c r="A56" s="305"/>
      <c r="B56" s="293"/>
      <c r="C56" s="289"/>
      <c r="D56" s="289"/>
      <c r="E56" s="289"/>
      <c r="F56" s="289"/>
      <c r="G56" s="293"/>
      <c r="H56" s="293"/>
      <c r="I56" s="293"/>
      <c r="J56" s="293"/>
      <c r="K56" s="293"/>
      <c r="L56" s="293"/>
      <c r="M56" s="293"/>
      <c r="N56" s="293"/>
      <c r="O56" s="293"/>
      <c r="P56" s="293"/>
      <c r="Q56" s="293"/>
      <c r="R56" s="293"/>
      <c r="S56" s="293"/>
      <c r="T56" s="293"/>
      <c r="U56" s="293"/>
      <c r="V56" s="293"/>
      <c r="W56" s="293"/>
      <c r="X56" s="293"/>
      <c r="Y56" s="293"/>
      <c r="Z56" s="293"/>
    </row>
    <row r="57" spans="1:26">
      <c r="A57" s="305"/>
      <c r="B57" s="293"/>
      <c r="C57" s="745" t="s">
        <v>74</v>
      </c>
      <c r="D57" s="745"/>
      <c r="E57" s="745"/>
      <c r="F57" s="745"/>
      <c r="G57" s="432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293"/>
      <c r="X57" s="293"/>
      <c r="Y57" s="293"/>
      <c r="Z57" s="293"/>
    </row>
    <row r="58" spans="1:26">
      <c r="A58" s="305"/>
      <c r="B58" s="293"/>
      <c r="C58" s="755" t="s">
        <v>72</v>
      </c>
      <c r="D58" s="757"/>
      <c r="E58" s="756" t="s">
        <v>73</v>
      </c>
      <c r="F58" s="757"/>
      <c r="G58" s="432"/>
      <c r="H58" s="293"/>
      <c r="I58" s="745" t="s">
        <v>79</v>
      </c>
      <c r="J58" s="745"/>
      <c r="K58" s="745"/>
      <c r="L58" s="745"/>
      <c r="M58" s="293"/>
      <c r="N58" s="769" t="s">
        <v>83</v>
      </c>
      <c r="O58" s="774" t="s">
        <v>134</v>
      </c>
      <c r="P58" s="784"/>
      <c r="Q58" s="774" t="s">
        <v>135</v>
      </c>
      <c r="R58" s="775"/>
      <c r="S58" s="293"/>
      <c r="T58" s="293"/>
      <c r="U58" s="293"/>
      <c r="V58" s="293"/>
      <c r="W58" s="293"/>
      <c r="X58" s="293"/>
      <c r="Y58" s="293"/>
      <c r="Z58" s="293"/>
    </row>
    <row r="59" spans="1:26">
      <c r="A59" s="305"/>
      <c r="B59" s="293"/>
      <c r="C59" s="749" t="s">
        <v>68</v>
      </c>
      <c r="D59" s="750"/>
      <c r="E59" s="749" t="s">
        <v>68</v>
      </c>
      <c r="F59" s="749"/>
      <c r="G59" s="432"/>
      <c r="H59" s="293"/>
      <c r="I59" s="780" t="s">
        <v>72</v>
      </c>
      <c r="J59" s="781"/>
      <c r="K59" s="780" t="s">
        <v>73</v>
      </c>
      <c r="L59" s="781"/>
      <c r="M59" s="293"/>
      <c r="N59" s="783"/>
      <c r="O59" s="374" t="s">
        <v>477</v>
      </c>
      <c r="P59" s="375" t="s">
        <v>130</v>
      </c>
      <c r="Q59" s="374" t="s">
        <v>477</v>
      </c>
      <c r="R59" s="374" t="s">
        <v>130</v>
      </c>
      <c r="S59" s="293"/>
      <c r="T59" s="293"/>
      <c r="U59" s="293"/>
      <c r="V59" s="293"/>
      <c r="W59" s="293"/>
      <c r="X59" s="293"/>
      <c r="Y59" s="293"/>
      <c r="Z59" s="293"/>
    </row>
    <row r="60" spans="1:26">
      <c r="A60" s="305"/>
      <c r="B60" s="293"/>
      <c r="C60" s="323" t="s">
        <v>460</v>
      </c>
      <c r="D60" s="365">
        <f>CRG!G13*D8+CRG!N17*D9</f>
        <v>0.31963677625075504</v>
      </c>
      <c r="E60" s="323" t="s">
        <v>460</v>
      </c>
      <c r="F60" s="335">
        <f>CRG!G14*D8+CRG!N18*D9+CRG!N21*D10*E10</f>
        <v>1.0594702134154239</v>
      </c>
      <c r="G60" s="432"/>
      <c r="H60" s="433" t="s">
        <v>317</v>
      </c>
      <c r="I60" s="328" t="s">
        <v>463</v>
      </c>
      <c r="J60" s="372">
        <f>1*SIN(RADIANS(DSB!$AV$203))</f>
        <v>0.2888362315789334</v>
      </c>
      <c r="K60" s="323" t="s">
        <v>464</v>
      </c>
      <c r="L60" s="335">
        <f>1*COS(RADIANS(DSB!$AV$203))</f>
        <v>0.95737852040208249</v>
      </c>
      <c r="M60" s="293"/>
      <c r="N60" s="484" t="s">
        <v>128</v>
      </c>
      <c r="O60" s="334" t="s">
        <v>64</v>
      </c>
      <c r="P60" s="355" t="s">
        <v>64</v>
      </c>
      <c r="Q60" s="334">
        <f>AXB!T73</f>
        <v>0.57130120012093266</v>
      </c>
      <c r="R60" s="334">
        <f>AXB!W92</f>
        <v>0.86464796238788333</v>
      </c>
      <c r="S60" s="293"/>
      <c r="T60" s="293"/>
      <c r="U60" s="293"/>
      <c r="V60" s="293"/>
      <c r="W60" s="293"/>
      <c r="X60" s="293"/>
      <c r="Y60" s="293"/>
      <c r="Z60" s="293"/>
    </row>
    <row r="61" spans="1:26">
      <c r="A61" s="305"/>
      <c r="B61" s="293"/>
      <c r="C61" s="323" t="s">
        <v>461</v>
      </c>
      <c r="D61" s="365">
        <f>D60*J67</f>
        <v>0.22374574337552852</v>
      </c>
      <c r="E61" s="369" t="s">
        <v>462</v>
      </c>
      <c r="F61" s="370">
        <f>F60*J67</f>
        <v>0.74162914939079672</v>
      </c>
      <c r="G61" s="432"/>
      <c r="H61" s="293"/>
      <c r="I61" s="758" t="s">
        <v>80</v>
      </c>
      <c r="J61" s="759"/>
      <c r="K61" s="759"/>
      <c r="L61" s="760"/>
      <c r="M61" s="293"/>
      <c r="N61" s="484" t="s">
        <v>129</v>
      </c>
      <c r="O61" s="334" t="s">
        <v>64</v>
      </c>
      <c r="P61" s="355" t="s">
        <v>64</v>
      </c>
      <c r="Q61" s="334">
        <f>AXB!V81</f>
        <v>0.22004600380643313</v>
      </c>
      <c r="R61" s="334">
        <f>AXB!V97</f>
        <v>0.51740830849393316</v>
      </c>
      <c r="S61" s="293"/>
      <c r="T61" s="293"/>
      <c r="U61" s="293"/>
      <c r="V61" s="293"/>
      <c r="W61" s="293"/>
      <c r="X61" s="293"/>
      <c r="Y61" s="293"/>
      <c r="Z61" s="293"/>
    </row>
    <row r="62" spans="1:26">
      <c r="A62" s="305"/>
      <c r="B62" s="293"/>
      <c r="C62" s="336"/>
      <c r="D62" s="367"/>
      <c r="E62" s="749" t="s">
        <v>71</v>
      </c>
      <c r="F62" s="749"/>
      <c r="G62" s="432"/>
      <c r="H62" s="293"/>
      <c r="I62" s="788" t="s">
        <v>72</v>
      </c>
      <c r="J62" s="781"/>
      <c r="K62" s="749" t="s">
        <v>73</v>
      </c>
      <c r="L62" s="749"/>
      <c r="M62" s="293"/>
      <c r="N62" s="485" t="s">
        <v>131</v>
      </c>
      <c r="O62" s="360">
        <f>AXB!R72</f>
        <v>0.34471733431025775</v>
      </c>
      <c r="P62" s="361">
        <f>AXB!R88</f>
        <v>0.52171978747472292</v>
      </c>
      <c r="Q62" s="360" t="s">
        <v>64</v>
      </c>
      <c r="R62" s="360" t="s">
        <v>64</v>
      </c>
      <c r="S62" s="293"/>
      <c r="T62" s="293"/>
      <c r="U62" s="293"/>
      <c r="V62" s="293"/>
      <c r="W62" s="293"/>
      <c r="X62" s="293"/>
      <c r="Y62" s="293"/>
      <c r="Z62" s="293"/>
    </row>
    <row r="63" spans="1:26">
      <c r="A63" s="305"/>
      <c r="B63" s="293"/>
      <c r="C63" s="336"/>
      <c r="D63" s="367"/>
      <c r="E63" s="323" t="s">
        <v>460</v>
      </c>
      <c r="F63" s="335">
        <f>CRG!G14*D8+CRG!N21*D10*0.75+CRG!N18*D9*E9</f>
        <v>0.88761265754155871</v>
      </c>
      <c r="G63" s="432"/>
      <c r="H63" s="293"/>
      <c r="I63" s="323" t="s">
        <v>461</v>
      </c>
      <c r="J63" s="365">
        <f>CRG!G13*$D$8*J67</f>
        <v>0.15115777231829602</v>
      </c>
      <c r="K63" s="323" t="s">
        <v>462</v>
      </c>
      <c r="L63" s="335">
        <f>CRG!G14*$D$8*J67</f>
        <v>0.50102857116738553</v>
      </c>
      <c r="M63" s="293"/>
      <c r="N63" s="484" t="s">
        <v>128</v>
      </c>
      <c r="O63" s="751" t="s">
        <v>64</v>
      </c>
      <c r="P63" s="752"/>
      <c r="Q63" s="751">
        <f>LARGE(Q60:R60,1)</f>
        <v>0.86464796238788333</v>
      </c>
      <c r="R63" s="751"/>
      <c r="S63" s="293"/>
      <c r="T63" s="293"/>
      <c r="U63" s="293"/>
      <c r="V63" s="293"/>
      <c r="W63" s="293"/>
      <c r="X63" s="293"/>
      <c r="Y63" s="293"/>
      <c r="Z63" s="293"/>
    </row>
    <row r="64" spans="1:26">
      <c r="A64" s="305"/>
      <c r="B64" s="293"/>
      <c r="C64" s="336"/>
      <c r="D64" s="367"/>
      <c r="E64" s="323" t="s">
        <v>462</v>
      </c>
      <c r="F64" s="335">
        <f>F63*J67</f>
        <v>0.62132886027909107</v>
      </c>
      <c r="G64" s="432"/>
      <c r="H64" s="293"/>
      <c r="I64" s="293"/>
      <c r="J64" s="293"/>
      <c r="K64" s="293"/>
      <c r="L64" s="293"/>
      <c r="M64" s="293"/>
      <c r="N64" s="484" t="s">
        <v>129</v>
      </c>
      <c r="O64" s="751" t="s">
        <v>64</v>
      </c>
      <c r="P64" s="752"/>
      <c r="Q64" s="751">
        <f>LARGE(Q61:R61,1)</f>
        <v>0.51740830849393316</v>
      </c>
      <c r="R64" s="751"/>
      <c r="S64" s="293"/>
      <c r="T64" s="293"/>
      <c r="U64" s="293"/>
      <c r="V64" s="293"/>
      <c r="W64" s="293"/>
      <c r="X64" s="293"/>
      <c r="Y64" s="293"/>
      <c r="Z64" s="293"/>
    </row>
    <row r="65" spans="1:26">
      <c r="A65" s="305"/>
      <c r="B65" s="293"/>
      <c r="C65" s="336"/>
      <c r="D65" s="367"/>
      <c r="E65" s="323"/>
      <c r="F65" s="431"/>
      <c r="G65" s="432"/>
      <c r="H65" s="293"/>
      <c r="I65" s="293"/>
      <c r="J65" s="293"/>
      <c r="K65" s="293"/>
      <c r="L65" s="293"/>
      <c r="M65" s="293"/>
      <c r="N65" s="484" t="s">
        <v>131</v>
      </c>
      <c r="O65" s="751">
        <f>LARGE(O62:P62,1)</f>
        <v>0.52171978747472292</v>
      </c>
      <c r="P65" s="752"/>
      <c r="Q65" s="751" t="s">
        <v>64</v>
      </c>
      <c r="R65" s="751"/>
      <c r="S65" s="293"/>
      <c r="T65" s="293"/>
      <c r="U65" s="293"/>
      <c r="V65" s="293"/>
      <c r="W65" s="293"/>
      <c r="X65" s="293"/>
      <c r="Y65" s="293"/>
      <c r="Z65" s="293"/>
    </row>
    <row r="66" spans="1:26">
      <c r="A66" s="305"/>
      <c r="B66" s="293"/>
      <c r="C66" s="755" t="s">
        <v>76</v>
      </c>
      <c r="D66" s="756"/>
      <c r="E66" s="756"/>
      <c r="F66" s="757"/>
      <c r="G66" s="432"/>
      <c r="H66" s="293"/>
      <c r="I66" s="744" t="s">
        <v>193</v>
      </c>
      <c r="J66" s="744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93"/>
    </row>
    <row r="67" spans="1:26" s="233" customFormat="1">
      <c r="A67" s="475"/>
      <c r="B67" s="476"/>
      <c r="C67" s="329" t="s">
        <v>461</v>
      </c>
      <c r="D67" s="383">
        <f>D61</f>
        <v>0.22374574337552852</v>
      </c>
      <c r="E67" s="329" t="s">
        <v>462</v>
      </c>
      <c r="F67" s="382">
        <f>IF(F61&gt;=F64,F61,F64)</f>
        <v>0.74162914939079672</v>
      </c>
      <c r="G67" s="478"/>
      <c r="H67" s="476"/>
      <c r="I67" s="329" t="s">
        <v>188</v>
      </c>
      <c r="J67" s="479">
        <f>DSB!F29</f>
        <v>0.7</v>
      </c>
      <c r="K67" s="476"/>
      <c r="L67" s="476"/>
      <c r="M67" s="476"/>
      <c r="N67" s="476"/>
      <c r="O67" s="476"/>
      <c r="P67" s="476"/>
      <c r="Q67" s="476"/>
      <c r="R67" s="476"/>
      <c r="S67" s="476"/>
      <c r="T67" s="476"/>
      <c r="U67" s="476"/>
      <c r="V67" s="476"/>
      <c r="W67" s="476"/>
      <c r="X67" s="476"/>
      <c r="Y67" s="476"/>
      <c r="Z67" s="476"/>
    </row>
    <row r="68" spans="1:26">
      <c r="A68" s="305"/>
      <c r="B68" s="293"/>
      <c r="C68" s="293"/>
      <c r="D68" s="293"/>
      <c r="E68" s="289"/>
      <c r="F68" s="308"/>
      <c r="G68" s="432"/>
      <c r="H68" s="293"/>
      <c r="I68" s="293"/>
      <c r="J68" s="293"/>
      <c r="K68" s="293"/>
      <c r="L68" s="293"/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</row>
    <row r="69" spans="1:26">
      <c r="A69" s="305"/>
      <c r="B69" s="764" t="s">
        <v>259</v>
      </c>
      <c r="C69" s="764"/>
      <c r="D69" s="765"/>
      <c r="E69" s="773" t="s">
        <v>258</v>
      </c>
      <c r="F69" s="773"/>
      <c r="G69" s="789"/>
      <c r="H69" s="764" t="s">
        <v>259</v>
      </c>
      <c r="I69" s="764"/>
      <c r="J69" s="765"/>
      <c r="K69" s="773" t="s">
        <v>258</v>
      </c>
      <c r="L69" s="773"/>
      <c r="M69" s="773"/>
      <c r="N69" s="293"/>
      <c r="O69" s="293"/>
      <c r="P69" s="293"/>
      <c r="Q69" s="293"/>
      <c r="R69" s="293"/>
      <c r="S69" s="293"/>
      <c r="T69" s="293"/>
      <c r="U69" s="293"/>
      <c r="V69" s="293"/>
      <c r="W69" s="293"/>
      <c r="X69" s="293"/>
      <c r="Y69" s="293"/>
      <c r="Z69" s="293"/>
    </row>
    <row r="70" spans="1:26">
      <c r="A70" s="305"/>
      <c r="B70" s="293"/>
      <c r="C70" s="293"/>
      <c r="D70" s="366"/>
      <c r="E70" s="289"/>
      <c r="F70" s="308"/>
      <c r="G70" s="432"/>
      <c r="H70" s="293"/>
      <c r="I70" s="293"/>
      <c r="J70" s="366"/>
      <c r="K70" s="293"/>
      <c r="L70" s="293"/>
      <c r="M70" s="293"/>
      <c r="N70" s="293"/>
      <c r="O70" s="293"/>
      <c r="P70" s="293"/>
      <c r="Q70" s="293"/>
      <c r="R70" s="293"/>
      <c r="S70" s="293"/>
      <c r="T70" s="293"/>
      <c r="U70" s="293"/>
      <c r="V70" s="293"/>
      <c r="W70" s="293"/>
      <c r="X70" s="293"/>
      <c r="Y70" s="293"/>
      <c r="Z70" s="293"/>
    </row>
    <row r="71" spans="1:26">
      <c r="A71" s="305"/>
      <c r="B71" s="293"/>
      <c r="C71" s="293"/>
      <c r="D71" s="366"/>
      <c r="E71" s="289"/>
      <c r="F71" s="308"/>
      <c r="G71" s="432"/>
      <c r="H71" s="293"/>
      <c r="I71" s="293"/>
      <c r="J71" s="366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293"/>
      <c r="Z71" s="293"/>
    </row>
    <row r="72" spans="1:26">
      <c r="A72" s="305"/>
      <c r="B72" s="293"/>
      <c r="C72" s="293"/>
      <c r="D72" s="366"/>
      <c r="E72" s="289"/>
      <c r="F72" s="308"/>
      <c r="G72" s="432"/>
      <c r="H72" s="293"/>
      <c r="I72" s="293"/>
      <c r="J72" s="366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</row>
    <row r="73" spans="1:26">
      <c r="A73" s="305"/>
      <c r="B73" s="293"/>
      <c r="C73" s="293"/>
      <c r="D73" s="366"/>
      <c r="E73" s="289"/>
      <c r="F73" s="308"/>
      <c r="G73" s="432"/>
      <c r="H73" s="293"/>
      <c r="I73" s="293"/>
      <c r="J73" s="366"/>
      <c r="K73" s="293"/>
      <c r="L73" s="293"/>
      <c r="M73" s="293"/>
      <c r="N73" s="293"/>
      <c r="O73" s="293"/>
      <c r="P73" s="293"/>
      <c r="Q73" s="293"/>
      <c r="R73" s="293"/>
      <c r="S73" s="293"/>
      <c r="T73" s="293"/>
      <c r="U73" s="293"/>
      <c r="V73" s="293"/>
      <c r="W73" s="293"/>
      <c r="X73" s="293"/>
      <c r="Y73" s="293"/>
      <c r="Z73" s="293"/>
    </row>
    <row r="74" spans="1:26">
      <c r="A74" s="305"/>
      <c r="B74" s="293"/>
      <c r="C74" s="293"/>
      <c r="D74" s="366"/>
      <c r="E74" s="289"/>
      <c r="F74" s="308"/>
      <c r="G74" s="432"/>
      <c r="H74" s="293"/>
      <c r="I74" s="293"/>
      <c r="J74" s="366"/>
      <c r="K74" s="293"/>
      <c r="L74" s="293"/>
      <c r="M74" s="293"/>
      <c r="N74" s="293"/>
      <c r="O74" s="293"/>
      <c r="P74" s="293"/>
      <c r="Q74" s="293"/>
      <c r="R74" s="293"/>
      <c r="S74" s="293"/>
      <c r="T74" s="293"/>
      <c r="U74" s="293"/>
      <c r="V74" s="293"/>
      <c r="W74" s="293"/>
      <c r="X74" s="293"/>
      <c r="Y74" s="293"/>
      <c r="Z74" s="293"/>
    </row>
    <row r="75" spans="1:26">
      <c r="A75" s="305"/>
      <c r="B75" s="293"/>
      <c r="C75" s="293"/>
      <c r="D75" s="366"/>
      <c r="E75" s="289"/>
      <c r="F75" s="308"/>
      <c r="G75" s="432"/>
      <c r="H75" s="293"/>
      <c r="I75" s="293"/>
      <c r="J75" s="366"/>
      <c r="K75" s="293"/>
      <c r="L75" s="293"/>
      <c r="M75" s="293"/>
      <c r="N75" s="293"/>
      <c r="O75" s="293"/>
      <c r="P75" s="293"/>
      <c r="Q75" s="293"/>
      <c r="R75" s="293"/>
      <c r="S75" s="293"/>
      <c r="T75" s="293"/>
      <c r="U75" s="293"/>
      <c r="V75" s="293"/>
      <c r="W75" s="293"/>
      <c r="X75" s="293"/>
      <c r="Y75" s="293"/>
      <c r="Z75" s="293"/>
    </row>
    <row r="76" spans="1:26">
      <c r="A76" s="305"/>
      <c r="B76" s="293"/>
      <c r="C76" s="293"/>
      <c r="D76" s="366"/>
      <c r="E76" s="434"/>
      <c r="F76" s="308"/>
      <c r="G76" s="432"/>
      <c r="H76" s="293"/>
      <c r="I76" s="293"/>
      <c r="J76" s="366"/>
      <c r="K76" s="293"/>
      <c r="L76" s="293"/>
      <c r="M76" s="293"/>
      <c r="N76" s="293"/>
      <c r="O76" s="293"/>
      <c r="P76" s="293"/>
      <c r="Q76" s="293"/>
      <c r="R76" s="293"/>
      <c r="S76" s="293"/>
      <c r="T76" s="293"/>
      <c r="U76" s="293"/>
      <c r="V76" s="293"/>
      <c r="W76" s="293"/>
      <c r="X76" s="293"/>
      <c r="Y76" s="293"/>
      <c r="Z76" s="293"/>
    </row>
    <row r="77" spans="1:26">
      <c r="A77" s="305"/>
      <c r="B77" s="293"/>
      <c r="C77" s="293"/>
      <c r="D77" s="366"/>
      <c r="E77" s="289"/>
      <c r="F77" s="308"/>
      <c r="G77" s="432"/>
      <c r="H77" s="293"/>
      <c r="I77" s="293"/>
      <c r="J77" s="366"/>
      <c r="K77" s="293"/>
      <c r="L77" s="293"/>
      <c r="M77" s="293"/>
      <c r="N77" s="293"/>
      <c r="O77" s="293"/>
      <c r="P77" s="293"/>
      <c r="Q77" s="293"/>
      <c r="R77" s="293"/>
      <c r="S77" s="293"/>
      <c r="T77" s="293"/>
      <c r="U77" s="293"/>
      <c r="V77" s="293"/>
      <c r="W77" s="293"/>
      <c r="X77" s="293"/>
      <c r="Y77" s="293"/>
      <c r="Z77" s="293"/>
    </row>
    <row r="78" spans="1:26">
      <c r="A78" s="305"/>
      <c r="B78" s="293"/>
      <c r="C78" s="293"/>
      <c r="D78" s="366"/>
      <c r="E78" s="289"/>
      <c r="F78" s="308"/>
      <c r="G78" s="432"/>
      <c r="H78" s="293"/>
      <c r="I78" s="293"/>
      <c r="J78" s="366"/>
      <c r="K78" s="293"/>
      <c r="L78" s="293"/>
      <c r="M78" s="293"/>
      <c r="N78" s="293"/>
      <c r="O78" s="293"/>
      <c r="P78" s="293"/>
      <c r="Q78" s="293"/>
      <c r="R78" s="293"/>
      <c r="S78" s="293"/>
      <c r="T78" s="293"/>
      <c r="U78" s="293"/>
      <c r="V78" s="293"/>
      <c r="W78" s="293"/>
      <c r="X78" s="293"/>
      <c r="Y78" s="293"/>
      <c r="Z78" s="293"/>
    </row>
    <row r="79" spans="1:26">
      <c r="A79" s="305"/>
      <c r="B79" s="293"/>
      <c r="C79" s="293"/>
      <c r="D79" s="366"/>
      <c r="E79" s="289"/>
      <c r="F79" s="308"/>
      <c r="G79" s="432"/>
      <c r="H79" s="293"/>
      <c r="I79" s="293"/>
      <c r="J79" s="366"/>
      <c r="K79" s="293"/>
      <c r="L79" s="293"/>
      <c r="M79" s="293"/>
      <c r="N79" s="293"/>
      <c r="O79" s="293"/>
      <c r="P79" s="293"/>
      <c r="Q79" s="293"/>
      <c r="R79" s="293"/>
      <c r="S79" s="293"/>
      <c r="T79" s="293"/>
      <c r="U79" s="293"/>
      <c r="V79" s="293"/>
      <c r="W79" s="293"/>
      <c r="X79" s="293"/>
      <c r="Y79" s="293"/>
      <c r="Z79" s="293"/>
    </row>
    <row r="80" spans="1:26">
      <c r="A80" s="305"/>
      <c r="B80" s="293"/>
      <c r="C80" s="293"/>
      <c r="D80" s="366"/>
      <c r="E80" s="289"/>
      <c r="F80" s="308"/>
      <c r="G80" s="432"/>
      <c r="H80" s="293"/>
      <c r="I80" s="293"/>
      <c r="J80" s="366"/>
      <c r="K80" s="293"/>
      <c r="L80" s="293"/>
      <c r="M80" s="293"/>
      <c r="N80" s="293"/>
      <c r="O80" s="293"/>
      <c r="P80" s="293"/>
      <c r="Q80" s="293"/>
      <c r="R80" s="293"/>
      <c r="S80" s="293"/>
      <c r="T80" s="293"/>
      <c r="U80" s="293"/>
      <c r="V80" s="293"/>
      <c r="W80" s="293"/>
      <c r="X80" s="293"/>
      <c r="Y80" s="293"/>
      <c r="Z80" s="293"/>
    </row>
    <row r="81" spans="1:26">
      <c r="A81" s="305"/>
      <c r="B81" s="293"/>
      <c r="C81" s="293"/>
      <c r="D81" s="366"/>
      <c r="E81" s="289"/>
      <c r="F81" s="308"/>
      <c r="G81" s="432"/>
      <c r="H81" s="293"/>
      <c r="I81" s="293"/>
      <c r="J81" s="366"/>
      <c r="K81" s="293"/>
      <c r="L81" s="293"/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3"/>
      <c r="X81" s="293"/>
      <c r="Y81" s="293"/>
      <c r="Z81" s="293"/>
    </row>
    <row r="82" spans="1:26">
      <c r="A82" s="305"/>
      <c r="B82" s="293"/>
      <c r="C82" s="293"/>
      <c r="D82" s="366"/>
      <c r="E82" s="289"/>
      <c r="F82" s="308"/>
      <c r="G82" s="432"/>
      <c r="H82" s="293"/>
      <c r="I82" s="293"/>
      <c r="J82" s="366"/>
      <c r="K82" s="293"/>
      <c r="L82" s="293"/>
      <c r="M82" s="293"/>
      <c r="N82" s="293"/>
      <c r="O82" s="293"/>
      <c r="P82" s="293"/>
      <c r="Q82" s="293"/>
      <c r="R82" s="293"/>
      <c r="S82" s="293"/>
      <c r="T82" s="293"/>
      <c r="U82" s="293"/>
      <c r="V82" s="293"/>
      <c r="W82" s="293"/>
      <c r="X82" s="293"/>
      <c r="Y82" s="293"/>
      <c r="Z82" s="293"/>
    </row>
    <row r="83" spans="1:26">
      <c r="A83" s="305"/>
      <c r="B83" s="293"/>
      <c r="C83" s="293"/>
      <c r="D83" s="366"/>
      <c r="E83" s="289"/>
      <c r="F83" s="308"/>
      <c r="G83" s="432"/>
      <c r="H83" s="293"/>
      <c r="I83" s="293"/>
      <c r="J83" s="366"/>
      <c r="K83" s="293"/>
      <c r="L83" s="293"/>
      <c r="M83" s="293"/>
      <c r="N83" s="316"/>
      <c r="O83" s="316"/>
      <c r="P83" s="293"/>
      <c r="Q83" s="293"/>
      <c r="R83" s="293"/>
      <c r="S83" s="293"/>
      <c r="T83" s="293"/>
      <c r="U83" s="293"/>
      <c r="V83" s="293"/>
      <c r="W83" s="293"/>
      <c r="X83" s="293"/>
      <c r="Y83" s="293"/>
      <c r="Z83" s="293"/>
    </row>
    <row r="84" spans="1:26">
      <c r="A84" s="305"/>
      <c r="B84" s="293"/>
      <c r="C84" s="293"/>
      <c r="D84" s="366"/>
      <c r="E84" s="289"/>
      <c r="F84" s="308"/>
      <c r="G84" s="432"/>
      <c r="H84" s="293"/>
      <c r="I84" s="293"/>
      <c r="J84" s="366"/>
      <c r="K84" s="293"/>
      <c r="L84" s="293"/>
      <c r="M84" s="293"/>
      <c r="N84" s="316"/>
      <c r="O84" s="316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</row>
    <row r="85" spans="1:26">
      <c r="A85" s="305"/>
      <c r="B85" s="293"/>
      <c r="C85" s="293"/>
      <c r="D85" s="366"/>
      <c r="E85" s="289"/>
      <c r="F85" s="308"/>
      <c r="G85" s="432"/>
      <c r="H85" s="293"/>
      <c r="I85" s="317"/>
      <c r="J85" s="366"/>
      <c r="K85" s="293"/>
      <c r="L85" s="293"/>
      <c r="M85" s="293"/>
      <c r="N85" s="316"/>
      <c r="O85" s="316"/>
      <c r="P85" s="293"/>
      <c r="Q85" s="293"/>
      <c r="R85" s="293"/>
      <c r="S85" s="293"/>
      <c r="T85" s="293"/>
      <c r="U85" s="293"/>
      <c r="V85" s="293"/>
      <c r="W85" s="293"/>
      <c r="X85" s="293"/>
      <c r="Y85" s="293"/>
      <c r="Z85" s="293"/>
    </row>
    <row r="86" spans="1:26">
      <c r="A86" s="305"/>
      <c r="B86" s="293"/>
      <c r="C86" s="293"/>
      <c r="D86" s="293"/>
      <c r="E86" s="289"/>
      <c r="F86" s="308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  <c r="S86" s="293"/>
      <c r="T86" s="293"/>
      <c r="U86" s="293"/>
      <c r="V86" s="293"/>
      <c r="W86" s="293"/>
      <c r="X86" s="293"/>
      <c r="Y86" s="293"/>
      <c r="Z86" s="293"/>
    </row>
    <row r="87" spans="1:26">
      <c r="A87" s="305"/>
      <c r="B87" s="293"/>
      <c r="C87" s="293"/>
      <c r="D87" s="293"/>
      <c r="E87" s="293"/>
      <c r="F87" s="293"/>
      <c r="G87" s="293"/>
      <c r="H87" s="311"/>
      <c r="I87" s="293"/>
      <c r="J87" s="293"/>
      <c r="K87" s="293"/>
      <c r="L87" s="293"/>
      <c r="M87" s="293"/>
      <c r="N87" s="293"/>
      <c r="O87" s="293"/>
      <c r="P87" s="311"/>
      <c r="Q87" s="293"/>
      <c r="R87" s="293"/>
      <c r="S87" s="293"/>
      <c r="T87" s="293"/>
      <c r="U87" s="293"/>
      <c r="V87" s="293"/>
      <c r="W87" s="293"/>
      <c r="X87" s="293"/>
      <c r="Y87" s="293"/>
      <c r="Z87" s="293"/>
    </row>
    <row r="88" spans="1:26">
      <c r="A88" s="305"/>
      <c r="B88" s="293"/>
      <c r="C88" s="745" t="s">
        <v>333</v>
      </c>
      <c r="D88" s="745"/>
      <c r="E88" s="745"/>
      <c r="F88" s="745"/>
      <c r="G88" s="745"/>
      <c r="H88" s="745"/>
      <c r="I88" s="293"/>
      <c r="J88" s="293"/>
      <c r="K88" s="744" t="s">
        <v>334</v>
      </c>
      <c r="L88" s="744"/>
      <c r="M88" s="744"/>
      <c r="N88" s="744"/>
      <c r="O88" s="293"/>
      <c r="P88" s="293"/>
      <c r="Q88" s="293"/>
      <c r="R88" s="293"/>
      <c r="S88" s="293"/>
      <c r="T88" s="293"/>
      <c r="U88" s="293"/>
      <c r="V88" s="293"/>
      <c r="W88" s="293"/>
      <c r="X88" s="293"/>
      <c r="Y88" s="293"/>
      <c r="Z88" s="293"/>
    </row>
    <row r="89" spans="1:26">
      <c r="A89" s="305"/>
      <c r="B89" s="293"/>
      <c r="C89" s="755" t="s">
        <v>72</v>
      </c>
      <c r="D89" s="756"/>
      <c r="E89" s="755" t="s">
        <v>73</v>
      </c>
      <c r="F89" s="756"/>
      <c r="G89" s="756"/>
      <c r="H89" s="757"/>
      <c r="I89" s="293"/>
      <c r="J89" s="293"/>
      <c r="K89" s="756" t="s">
        <v>72</v>
      </c>
      <c r="L89" s="757"/>
      <c r="M89" s="756" t="s">
        <v>73</v>
      </c>
      <c r="N89" s="756"/>
      <c r="O89" s="293"/>
      <c r="P89" s="293"/>
      <c r="Q89" s="293"/>
      <c r="R89" s="293"/>
      <c r="S89" s="293"/>
      <c r="T89" s="293"/>
      <c r="U89" s="293"/>
      <c r="V89" s="293"/>
      <c r="W89" s="293"/>
      <c r="X89" s="293"/>
      <c r="Y89" s="293"/>
      <c r="Z89" s="293"/>
    </row>
    <row r="90" spans="1:26">
      <c r="A90" s="305"/>
      <c r="B90" s="293"/>
      <c r="C90" s="791" t="s">
        <v>68</v>
      </c>
      <c r="D90" s="750"/>
      <c r="E90" s="749" t="s">
        <v>331</v>
      </c>
      <c r="F90" s="750"/>
      <c r="G90" s="749" t="s">
        <v>316</v>
      </c>
      <c r="H90" s="750"/>
      <c r="I90" s="293"/>
      <c r="J90" s="293"/>
      <c r="K90" s="749" t="s">
        <v>68</v>
      </c>
      <c r="L90" s="750"/>
      <c r="M90" s="749" t="s">
        <v>68</v>
      </c>
      <c r="N90" s="749"/>
      <c r="O90" s="293"/>
      <c r="P90" s="293"/>
      <c r="Q90" s="293"/>
      <c r="R90" s="293"/>
      <c r="S90" s="293"/>
      <c r="T90" s="293"/>
      <c r="U90" s="293"/>
      <c r="V90" s="293"/>
      <c r="W90" s="293"/>
      <c r="X90" s="293"/>
      <c r="Y90" s="293"/>
      <c r="Z90" s="293"/>
    </row>
    <row r="91" spans="1:26">
      <c r="A91" s="305"/>
      <c r="B91" s="293"/>
      <c r="C91" s="376" t="s">
        <v>460</v>
      </c>
      <c r="D91" s="348">
        <f>CRG!G13+CRG!N17</f>
        <v>0.22337402582147592</v>
      </c>
      <c r="E91" s="323" t="s">
        <v>460</v>
      </c>
      <c r="F91" s="348">
        <f>CRG!G14+CRG!N18+CRG!N21*F10</f>
        <v>0.7403970518801728</v>
      </c>
      <c r="G91" s="794">
        <f>CRG!G14+CRG!N18*F9+CRG!N21</f>
        <v>0.6029110071810807</v>
      </c>
      <c r="H91" s="795"/>
      <c r="I91" s="293"/>
      <c r="J91" s="293"/>
      <c r="K91" s="323" t="s">
        <v>460</v>
      </c>
      <c r="L91" s="348">
        <f>(CRG!G13+CRG!N17*G9)*(1+RST!E10)</f>
        <v>0.27997127218664675</v>
      </c>
      <c r="M91" s="323" t="s">
        <v>460</v>
      </c>
      <c r="N91" s="331">
        <f>(CRG!G14+CRG!N18*G9)*(1+RST!E10)</f>
        <v>0.92799466623663784</v>
      </c>
      <c r="O91" s="293"/>
      <c r="P91" s="293"/>
      <c r="Q91" s="293"/>
      <c r="R91" s="293"/>
      <c r="S91" s="293"/>
      <c r="T91" s="293"/>
      <c r="U91" s="293"/>
      <c r="V91" s="293"/>
      <c r="W91" s="293"/>
      <c r="X91" s="293"/>
      <c r="Y91" s="293"/>
      <c r="Z91" s="293"/>
    </row>
    <row r="92" spans="1:26">
      <c r="A92" s="305"/>
      <c r="B92" s="293"/>
      <c r="C92" s="755" t="s">
        <v>76</v>
      </c>
      <c r="D92" s="756"/>
      <c r="E92" s="756"/>
      <c r="F92" s="756"/>
      <c r="G92" s="756"/>
      <c r="H92" s="757"/>
      <c r="I92" s="293"/>
      <c r="J92" s="293"/>
      <c r="K92" s="755" t="s">
        <v>76</v>
      </c>
      <c r="L92" s="756"/>
      <c r="M92" s="756"/>
      <c r="N92" s="757"/>
      <c r="O92" s="293"/>
      <c r="P92" s="293"/>
      <c r="Q92" s="293"/>
      <c r="R92" s="293"/>
      <c r="S92" s="293"/>
      <c r="T92" s="293"/>
      <c r="U92" s="293"/>
      <c r="V92" s="293"/>
      <c r="W92" s="293"/>
      <c r="X92" s="293"/>
      <c r="Y92" s="293"/>
      <c r="Z92" s="293"/>
    </row>
    <row r="93" spans="1:26" s="233" customFormat="1" ht="20.100000000000001" customHeight="1">
      <c r="A93" s="475"/>
      <c r="B93" s="476"/>
      <c r="C93" s="329" t="s">
        <v>461</v>
      </c>
      <c r="D93" s="383">
        <f>D91*J67</f>
        <v>0.15636181807503313</v>
      </c>
      <c r="E93" s="477" t="s">
        <v>462</v>
      </c>
      <c r="F93" s="796">
        <f>MAX(F91,G91)*J67</f>
        <v>0.51827793631612096</v>
      </c>
      <c r="G93" s="796"/>
      <c r="H93" s="796"/>
      <c r="I93" s="476"/>
      <c r="J93" s="476"/>
      <c r="K93" s="329" t="s">
        <v>461</v>
      </c>
      <c r="L93" s="383">
        <f>L91*J67</f>
        <v>0.19597989053065271</v>
      </c>
      <c r="M93" s="329" t="s">
        <v>462</v>
      </c>
      <c r="N93" s="382">
        <f>N91*J67</f>
        <v>0.64959626636564649</v>
      </c>
      <c r="O93" s="476"/>
      <c r="P93" s="476"/>
      <c r="Q93" s="476"/>
      <c r="R93" s="476"/>
      <c r="S93" s="476"/>
      <c r="T93" s="476"/>
      <c r="U93" s="476"/>
      <c r="V93" s="476"/>
      <c r="W93" s="476"/>
      <c r="X93" s="476"/>
      <c r="Y93" s="476"/>
      <c r="Z93" s="476"/>
    </row>
    <row r="94" spans="1:26">
      <c r="A94" s="305"/>
      <c r="B94" s="293"/>
      <c r="C94" s="293"/>
      <c r="D94" s="293"/>
      <c r="E94" s="293"/>
      <c r="F94" s="293"/>
      <c r="G94" s="293"/>
      <c r="H94" s="293"/>
      <c r="I94" s="293"/>
      <c r="J94" s="293"/>
      <c r="K94" s="293"/>
      <c r="L94" s="293"/>
      <c r="M94" s="293"/>
      <c r="N94" s="293"/>
      <c r="O94" s="293"/>
      <c r="P94" s="293"/>
      <c r="Q94" s="293"/>
      <c r="R94" s="293"/>
      <c r="S94" s="293"/>
      <c r="T94" s="293"/>
      <c r="U94" s="293"/>
      <c r="V94" s="293"/>
      <c r="W94" s="293"/>
      <c r="X94" s="293"/>
      <c r="Y94" s="293"/>
      <c r="Z94" s="293"/>
    </row>
    <row r="95" spans="1:26">
      <c r="A95" s="305"/>
      <c r="B95" s="293"/>
      <c r="C95" s="293"/>
      <c r="D95" s="293"/>
      <c r="E95" s="293"/>
      <c r="F95" s="293"/>
      <c r="G95" s="293"/>
      <c r="H95" s="293"/>
      <c r="I95" s="293"/>
      <c r="J95" s="293"/>
      <c r="K95" s="293"/>
      <c r="L95" s="293"/>
      <c r="M95" s="293"/>
      <c r="N95" s="293"/>
      <c r="O95" s="293"/>
      <c r="P95" s="293"/>
      <c r="Q95" s="293"/>
      <c r="R95" s="293"/>
      <c r="S95" s="293"/>
      <c r="T95" s="293"/>
      <c r="U95" s="293"/>
      <c r="V95" s="293"/>
      <c r="W95" s="293"/>
      <c r="X95" s="293"/>
      <c r="Y95" s="293"/>
      <c r="Z95" s="293"/>
    </row>
    <row r="96" spans="1:26">
      <c r="A96" s="305"/>
      <c r="B96" s="293"/>
      <c r="C96" s="293"/>
      <c r="D96" s="293"/>
      <c r="E96" s="293"/>
      <c r="F96" s="293"/>
      <c r="G96" s="293"/>
      <c r="H96" s="293"/>
      <c r="I96" s="293"/>
      <c r="J96" s="293"/>
      <c r="K96" s="293"/>
      <c r="L96" s="293"/>
      <c r="M96" s="293"/>
      <c r="N96" s="293"/>
      <c r="O96" s="293"/>
      <c r="P96" s="293"/>
      <c r="Q96" s="293"/>
      <c r="R96" s="293"/>
      <c r="S96" s="293"/>
      <c r="T96" s="293"/>
      <c r="U96" s="293"/>
      <c r="V96" s="293"/>
      <c r="W96" s="293"/>
      <c r="X96" s="293"/>
      <c r="Y96" s="293"/>
      <c r="Z96" s="293"/>
    </row>
    <row r="97" spans="1:26">
      <c r="A97" s="305"/>
      <c r="B97" s="293"/>
      <c r="C97" s="293"/>
      <c r="D97" s="293"/>
      <c r="E97" s="293"/>
      <c r="F97" s="293"/>
      <c r="G97" s="293"/>
      <c r="H97" s="293"/>
      <c r="I97" s="293"/>
      <c r="J97" s="293"/>
      <c r="K97" s="293"/>
      <c r="L97" s="293"/>
      <c r="M97" s="293"/>
      <c r="N97" s="293"/>
      <c r="O97" s="293"/>
      <c r="P97" s="293"/>
      <c r="Q97" s="293"/>
      <c r="R97" s="293"/>
      <c r="S97" s="293"/>
      <c r="T97" s="293"/>
      <c r="U97" s="293"/>
      <c r="V97" s="293"/>
      <c r="W97" s="293"/>
      <c r="X97" s="293"/>
      <c r="Y97" s="293"/>
      <c r="Z97" s="293"/>
    </row>
    <row r="98" spans="1:26">
      <c r="A98" s="305"/>
      <c r="B98" s="293"/>
      <c r="C98" s="792" t="s">
        <v>85</v>
      </c>
      <c r="D98" s="792"/>
      <c r="E98" s="792"/>
      <c r="F98" s="792"/>
      <c r="G98" s="792"/>
      <c r="H98" s="792"/>
      <c r="I98" s="792"/>
      <c r="J98" s="792"/>
      <c r="K98" s="792"/>
      <c r="L98" s="792"/>
      <c r="M98" s="792"/>
      <c r="N98" s="792"/>
      <c r="O98" s="792"/>
      <c r="P98" s="792"/>
      <c r="Q98" s="792"/>
      <c r="R98" s="792"/>
      <c r="S98" s="792"/>
      <c r="T98" s="792"/>
      <c r="U98" s="792"/>
      <c r="V98" s="792"/>
      <c r="W98" s="792"/>
      <c r="X98" s="293"/>
      <c r="Y98" s="293"/>
      <c r="Z98" s="293"/>
    </row>
    <row r="99" spans="1:26">
      <c r="A99" s="305"/>
      <c r="B99" s="293"/>
      <c r="C99" s="310"/>
      <c r="D99" s="310"/>
      <c r="E99" s="310"/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310"/>
      <c r="Q99" s="310"/>
      <c r="R99" s="310"/>
      <c r="S99" s="310"/>
      <c r="T99" s="310"/>
      <c r="U99" s="310"/>
      <c r="V99" s="310"/>
      <c r="W99" s="310"/>
      <c r="X99" s="293"/>
      <c r="Y99" s="293"/>
      <c r="Z99" s="293"/>
    </row>
    <row r="100" spans="1:26">
      <c r="A100" s="305"/>
      <c r="B100" s="293"/>
      <c r="C100" s="793" t="s">
        <v>201</v>
      </c>
      <c r="D100" s="793"/>
      <c r="E100" s="793"/>
      <c r="F100" s="793"/>
      <c r="G100" s="793"/>
      <c r="H100" s="793"/>
      <c r="I100" s="793"/>
      <c r="J100" s="793"/>
      <c r="K100" s="793"/>
      <c r="L100" s="793"/>
      <c r="M100" s="293"/>
      <c r="N100" s="293"/>
      <c r="O100" s="293"/>
      <c r="P100" s="293"/>
      <c r="Q100" s="793" t="s">
        <v>202</v>
      </c>
      <c r="R100" s="793"/>
      <c r="S100" s="793"/>
      <c r="T100" s="793"/>
      <c r="U100" s="793"/>
      <c r="V100" s="793"/>
      <c r="W100" s="793"/>
      <c r="X100" s="293"/>
      <c r="Y100" s="293"/>
      <c r="Z100" s="293"/>
    </row>
    <row r="101" spans="1:26">
      <c r="A101" s="305"/>
      <c r="B101" s="293"/>
      <c r="C101" s="289"/>
      <c r="D101" s="289"/>
      <c r="E101" s="289"/>
      <c r="F101" s="289"/>
      <c r="G101" s="289"/>
      <c r="H101" s="289"/>
      <c r="I101" s="289"/>
      <c r="J101" s="289"/>
      <c r="K101" s="289"/>
      <c r="L101" s="289"/>
      <c r="M101" s="293"/>
      <c r="N101" s="293"/>
      <c r="O101" s="293"/>
      <c r="P101" s="293"/>
      <c r="Q101" s="293"/>
      <c r="R101" s="293"/>
      <c r="S101" s="293"/>
      <c r="T101" s="293"/>
      <c r="U101" s="293"/>
      <c r="V101" s="293"/>
      <c r="W101" s="293"/>
      <c r="X101" s="293"/>
      <c r="Y101" s="293"/>
      <c r="Z101" s="293"/>
    </row>
    <row r="102" spans="1:26">
      <c r="A102" s="305"/>
      <c r="B102" s="293"/>
      <c r="C102" s="744" t="s">
        <v>74</v>
      </c>
      <c r="D102" s="744"/>
      <c r="E102" s="744"/>
      <c r="F102" s="744"/>
      <c r="G102" s="293"/>
      <c r="H102" s="293"/>
      <c r="I102" s="293"/>
      <c r="J102" s="293"/>
      <c r="K102" s="293"/>
      <c r="L102" s="293"/>
      <c r="M102" s="293"/>
      <c r="N102" s="293"/>
      <c r="O102" s="293"/>
      <c r="P102" s="293"/>
      <c r="Q102" s="745" t="s">
        <v>74</v>
      </c>
      <c r="R102" s="745"/>
      <c r="S102" s="293"/>
      <c r="T102" s="293"/>
      <c r="U102" s="293"/>
      <c r="V102" s="293"/>
      <c r="W102" s="293"/>
      <c r="X102" s="293"/>
      <c r="Y102" s="293"/>
      <c r="Z102" s="293"/>
    </row>
    <row r="103" spans="1:26">
      <c r="A103" s="305"/>
      <c r="B103" s="293"/>
      <c r="C103" s="748" t="s">
        <v>72</v>
      </c>
      <c r="D103" s="790"/>
      <c r="E103" s="748" t="s">
        <v>73</v>
      </c>
      <c r="F103" s="748"/>
      <c r="G103" s="293"/>
      <c r="H103" s="293"/>
      <c r="I103" s="744" t="s">
        <v>79</v>
      </c>
      <c r="J103" s="744"/>
      <c r="K103" s="744"/>
      <c r="L103" s="744"/>
      <c r="M103" s="293"/>
      <c r="N103" s="293"/>
      <c r="O103" s="293"/>
      <c r="P103" s="293"/>
      <c r="Q103" s="420" t="s">
        <v>465</v>
      </c>
      <c r="R103" s="473">
        <f>CRG!N23</f>
        <v>0</v>
      </c>
      <c r="S103" s="293"/>
      <c r="T103" s="293"/>
      <c r="U103" s="744" t="s">
        <v>204</v>
      </c>
      <c r="V103" s="744"/>
      <c r="W103" s="293"/>
      <c r="X103" s="293"/>
      <c r="Y103" s="293"/>
      <c r="Z103" s="293"/>
    </row>
    <row r="104" spans="1:26">
      <c r="A104" s="305"/>
      <c r="B104" s="293"/>
      <c r="C104" s="749" t="s">
        <v>68</v>
      </c>
      <c r="D104" s="750"/>
      <c r="E104" s="749" t="s">
        <v>68</v>
      </c>
      <c r="F104" s="749"/>
      <c r="G104" s="293"/>
      <c r="H104" s="293"/>
      <c r="I104" s="780" t="s">
        <v>72</v>
      </c>
      <c r="J104" s="781"/>
      <c r="K104" s="780" t="s">
        <v>73</v>
      </c>
      <c r="L104" s="781"/>
      <c r="M104" s="293"/>
      <c r="N104" s="293"/>
      <c r="O104" s="293"/>
      <c r="P104" s="293"/>
      <c r="Q104" s="749" t="s">
        <v>68</v>
      </c>
      <c r="R104" s="749"/>
      <c r="S104" s="293"/>
      <c r="T104" s="293"/>
      <c r="U104" s="749" t="s">
        <v>73</v>
      </c>
      <c r="V104" s="749"/>
      <c r="W104" s="293"/>
      <c r="X104" s="293"/>
      <c r="Y104" s="293"/>
      <c r="Z104" s="293"/>
    </row>
    <row r="105" spans="1:26">
      <c r="A105" s="305"/>
      <c r="B105" s="293"/>
      <c r="C105" s="337" t="s">
        <v>460</v>
      </c>
      <c r="D105" s="377">
        <f>CRG!J13*D8+CRG!N17*D9</f>
        <v>0.34039134783123237</v>
      </c>
      <c r="E105" s="337" t="s">
        <v>460</v>
      </c>
      <c r="F105" s="338">
        <f>CRG!J14*D8+CRG!N18*D9+CRG!N21*D10*E10</f>
        <v>1.1282634562945342</v>
      </c>
      <c r="G105" s="293"/>
      <c r="H105" s="293"/>
      <c r="I105" s="387" t="s">
        <v>466</v>
      </c>
      <c r="J105" s="389">
        <f>1*SIN(RADIANS(DSB!$AV$203))</f>
        <v>0.2888362315789334</v>
      </c>
      <c r="K105" s="388" t="s">
        <v>464</v>
      </c>
      <c r="L105" s="389">
        <f>1*COS(RADIANS(DSB!$AV$203))</f>
        <v>0.95737852040208249</v>
      </c>
      <c r="M105" s="293"/>
      <c r="N105" s="293"/>
      <c r="O105" s="293"/>
      <c r="P105" s="293"/>
      <c r="Q105" s="323" t="s">
        <v>460</v>
      </c>
      <c r="R105" s="343">
        <f>D8*(CRG!J12+CRG!N11*E9+0.75*R103)</f>
        <v>0.99447560742986707</v>
      </c>
      <c r="S105" s="293"/>
      <c r="T105" s="293"/>
      <c r="U105" s="328" t="s">
        <v>205</v>
      </c>
      <c r="V105" s="582">
        <v>1</v>
      </c>
      <c r="W105" s="293"/>
      <c r="X105" s="293"/>
      <c r="Y105" s="293"/>
      <c r="Z105" s="293"/>
    </row>
    <row r="106" spans="1:26">
      <c r="A106" s="305"/>
      <c r="B106" s="293"/>
      <c r="C106" s="337" t="s">
        <v>461</v>
      </c>
      <c r="D106" s="377">
        <f>D105*J112</f>
        <v>0.52442918589838838</v>
      </c>
      <c r="E106" s="379" t="s">
        <v>462</v>
      </c>
      <c r="F106" s="380">
        <f>F105*J112</f>
        <v>1.7382765150564559</v>
      </c>
      <c r="G106" s="293"/>
      <c r="H106" s="293"/>
      <c r="I106" s="797" t="s">
        <v>80</v>
      </c>
      <c r="J106" s="798"/>
      <c r="K106" s="798"/>
      <c r="L106" s="799"/>
      <c r="M106" s="293"/>
      <c r="N106" s="293"/>
      <c r="O106" s="293"/>
      <c r="P106" s="293"/>
      <c r="Q106" s="328" t="s">
        <v>167</v>
      </c>
      <c r="R106" s="421">
        <f>R105*J112</f>
        <v>1.5321541999323336</v>
      </c>
      <c r="S106" s="293"/>
      <c r="T106" s="293"/>
      <c r="U106" s="745" t="s">
        <v>203</v>
      </c>
      <c r="V106" s="745"/>
      <c r="W106" s="293"/>
      <c r="X106" s="293"/>
      <c r="Y106" s="293"/>
      <c r="Z106" s="293"/>
    </row>
    <row r="107" spans="1:26">
      <c r="A107" s="305"/>
      <c r="B107" s="293"/>
      <c r="C107" s="339"/>
      <c r="D107" s="378"/>
      <c r="E107" s="800" t="s">
        <v>71</v>
      </c>
      <c r="F107" s="800"/>
      <c r="G107" s="293"/>
      <c r="H107" s="293"/>
      <c r="I107" s="801" t="s">
        <v>72</v>
      </c>
      <c r="J107" s="802"/>
      <c r="K107" s="801" t="s">
        <v>73</v>
      </c>
      <c r="L107" s="802"/>
      <c r="M107" s="293"/>
      <c r="N107" s="293"/>
      <c r="O107" s="293"/>
      <c r="P107" s="293"/>
      <c r="Q107" s="749" t="s">
        <v>68</v>
      </c>
      <c r="R107" s="749"/>
      <c r="S107" s="293"/>
      <c r="T107" s="293"/>
      <c r="U107" s="323" t="s">
        <v>462</v>
      </c>
      <c r="V107" s="342">
        <f>CRG!J12*$D$8*J112</f>
        <v>1.2625377478193365</v>
      </c>
      <c r="W107" s="293"/>
      <c r="X107" s="293"/>
      <c r="Y107" s="293"/>
      <c r="Z107" s="293"/>
    </row>
    <row r="108" spans="1:26">
      <c r="A108" s="305"/>
      <c r="B108" s="293"/>
      <c r="C108" s="339"/>
      <c r="D108" s="378"/>
      <c r="E108" s="337" t="s">
        <v>460</v>
      </c>
      <c r="F108" s="338">
        <f>CRG!J14*D8+CRG!N21*D10*0.75+CRG!N18*D9*E9</f>
        <v>0.95640590042066909</v>
      </c>
      <c r="G108" s="293"/>
      <c r="H108" s="293"/>
      <c r="I108" s="384" t="s">
        <v>461</v>
      </c>
      <c r="J108" s="386">
        <f>CRG!J13*$D$8*J112</f>
        <v>0.36466664530629095</v>
      </c>
      <c r="K108" s="384" t="s">
        <v>462</v>
      </c>
      <c r="L108" s="385">
        <f>CRG!J14*$D$8*J112</f>
        <v>1.2087265209590541</v>
      </c>
      <c r="M108" s="293"/>
      <c r="N108" s="293"/>
      <c r="O108" s="293"/>
      <c r="P108" s="293"/>
      <c r="Q108" s="323" t="s">
        <v>460</v>
      </c>
      <c r="R108" s="343">
        <f>D8*(CRG!J12+CRG!N11+R103*E10)</f>
        <v>1.1694756074298671</v>
      </c>
      <c r="S108" s="293"/>
      <c r="T108" s="293"/>
      <c r="U108" s="293"/>
      <c r="V108" s="293"/>
      <c r="W108" s="293"/>
      <c r="X108" s="293"/>
      <c r="Y108" s="293"/>
      <c r="Z108" s="293"/>
    </row>
    <row r="109" spans="1:26">
      <c r="A109" s="305"/>
      <c r="B109" s="293"/>
      <c r="C109" s="339"/>
      <c r="D109" s="378"/>
      <c r="E109" s="337" t="s">
        <v>462</v>
      </c>
      <c r="F109" s="338">
        <f>F108*J112</f>
        <v>1.4735015180077549</v>
      </c>
      <c r="G109" s="293"/>
      <c r="H109" s="293"/>
      <c r="I109" s="293"/>
      <c r="J109" s="293"/>
      <c r="K109" s="293"/>
      <c r="L109" s="293"/>
      <c r="M109" s="293"/>
      <c r="N109" s="293"/>
      <c r="O109" s="293"/>
      <c r="P109" s="293"/>
      <c r="Q109" s="323" t="s">
        <v>167</v>
      </c>
      <c r="R109" s="343">
        <f>R108*J112</f>
        <v>1.8017706520453307</v>
      </c>
      <c r="S109" s="293"/>
      <c r="T109" s="293"/>
      <c r="U109" s="293"/>
      <c r="V109" s="293"/>
      <c r="W109" s="293"/>
      <c r="X109" s="293"/>
      <c r="Y109" s="293"/>
      <c r="Z109" s="293"/>
    </row>
    <row r="110" spans="1:26">
      <c r="A110" s="305"/>
      <c r="B110" s="293"/>
      <c r="C110" s="339"/>
      <c r="D110" s="378"/>
      <c r="E110" s="337"/>
      <c r="F110" s="340"/>
      <c r="G110" s="293"/>
      <c r="H110" s="293"/>
      <c r="I110" s="293"/>
      <c r="J110" s="293"/>
      <c r="K110" s="293"/>
      <c r="L110" s="293"/>
      <c r="M110" s="293"/>
      <c r="N110" s="293"/>
      <c r="O110" s="293"/>
      <c r="P110" s="293"/>
      <c r="Q110" s="755" t="s">
        <v>76</v>
      </c>
      <c r="R110" s="757"/>
      <c r="S110" s="293"/>
      <c r="T110" s="293"/>
      <c r="U110" s="293"/>
      <c r="V110" s="293"/>
      <c r="W110" s="293"/>
      <c r="X110" s="293"/>
      <c r="Y110" s="293"/>
      <c r="Z110" s="293"/>
    </row>
    <row r="111" spans="1:26">
      <c r="A111" s="305"/>
      <c r="B111" s="293"/>
      <c r="C111" s="806" t="s">
        <v>76</v>
      </c>
      <c r="D111" s="807"/>
      <c r="E111" s="807"/>
      <c r="F111" s="808"/>
      <c r="G111" s="293"/>
      <c r="H111" s="293"/>
      <c r="I111" s="744" t="s">
        <v>194</v>
      </c>
      <c r="J111" s="744"/>
      <c r="K111" s="293"/>
      <c r="L111" s="293"/>
      <c r="M111" s="293"/>
      <c r="N111" s="293"/>
      <c r="O111" s="293"/>
      <c r="P111" s="293"/>
      <c r="Q111" s="323" t="s">
        <v>462</v>
      </c>
      <c r="R111" s="422">
        <f>IF(R106&gt;=R109,R106,R109)</f>
        <v>1.8017706520453307</v>
      </c>
      <c r="S111" s="293"/>
      <c r="T111" s="293"/>
      <c r="U111" s="293"/>
      <c r="V111" s="293"/>
      <c r="W111" s="293"/>
      <c r="X111" s="293"/>
      <c r="Y111" s="293"/>
      <c r="Z111" s="293"/>
    </row>
    <row r="112" spans="1:26">
      <c r="A112" s="305"/>
      <c r="B112" s="293"/>
      <c r="C112" s="381" t="s">
        <v>461</v>
      </c>
      <c r="D112" s="383">
        <f>D106</f>
        <v>0.52442918589838838</v>
      </c>
      <c r="E112" s="381" t="s">
        <v>462</v>
      </c>
      <c r="F112" s="382">
        <f>IF(F106&gt;=F109,F106,F109)</f>
        <v>1.7382765150564559</v>
      </c>
      <c r="G112" s="293"/>
      <c r="H112" s="293"/>
      <c r="I112" s="391" t="s">
        <v>188</v>
      </c>
      <c r="J112" s="390">
        <f>AXA!C16</f>
        <v>1.5406654406456972</v>
      </c>
      <c r="K112" s="293"/>
      <c r="L112" s="293"/>
      <c r="M112" s="293"/>
      <c r="N112" s="293"/>
      <c r="O112" s="293"/>
      <c r="P112" s="293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</row>
    <row r="113" spans="1:26">
      <c r="A113" s="305"/>
      <c r="B113" s="293"/>
      <c r="C113" s="293"/>
      <c r="D113" s="293"/>
      <c r="E113" s="289"/>
      <c r="F113" s="308"/>
      <c r="G113" s="293"/>
      <c r="H113" s="293"/>
      <c r="I113" s="293"/>
      <c r="J113" s="293"/>
      <c r="K113" s="293"/>
      <c r="L113" s="293"/>
      <c r="M113" s="293"/>
      <c r="N113" s="293"/>
      <c r="O113" s="293"/>
      <c r="P113" s="293"/>
      <c r="Q113" s="293"/>
      <c r="R113" s="776" t="s">
        <v>211</v>
      </c>
      <c r="S113" s="776"/>
      <c r="T113" s="776"/>
      <c r="U113" s="776"/>
      <c r="V113" s="293"/>
      <c r="W113" s="293"/>
      <c r="X113" s="293"/>
      <c r="Y113" s="293"/>
      <c r="Z113" s="293"/>
    </row>
    <row r="114" spans="1:26" ht="15" customHeight="1">
      <c r="A114" s="305"/>
      <c r="B114" s="764" t="s">
        <v>255</v>
      </c>
      <c r="C114" s="764"/>
      <c r="D114" s="764"/>
      <c r="E114" s="773" t="s">
        <v>211</v>
      </c>
      <c r="F114" s="773"/>
      <c r="G114" s="773"/>
      <c r="H114" s="764" t="s">
        <v>527</v>
      </c>
      <c r="I114" s="764"/>
      <c r="J114" s="764"/>
      <c r="K114" s="289"/>
      <c r="L114" s="313" t="s">
        <v>528</v>
      </c>
      <c r="M114" s="310"/>
      <c r="N114" s="293"/>
      <c r="O114" s="293"/>
      <c r="P114" s="293"/>
      <c r="Q114" s="293"/>
      <c r="R114" s="293"/>
      <c r="S114" s="293"/>
      <c r="T114" s="293"/>
      <c r="U114" s="293"/>
      <c r="V114" s="293"/>
      <c r="W114" s="293"/>
      <c r="X114" s="293"/>
      <c r="Y114" s="293"/>
      <c r="Z114" s="293"/>
    </row>
    <row r="115" spans="1:26">
      <c r="A115" s="305"/>
      <c r="B115" s="293"/>
      <c r="C115" s="293"/>
      <c r="D115" s="366"/>
      <c r="E115" s="289"/>
      <c r="F115" s="308"/>
      <c r="G115" s="432"/>
      <c r="H115" s="293"/>
      <c r="I115" s="293"/>
      <c r="J115" s="366"/>
      <c r="K115" s="293"/>
      <c r="L115" s="293"/>
      <c r="M115" s="293"/>
      <c r="N115" s="293"/>
      <c r="O115" s="293"/>
      <c r="P115" s="293"/>
      <c r="Q115" s="293"/>
      <c r="R115" s="293"/>
      <c r="S115" s="293"/>
      <c r="T115" s="293"/>
      <c r="U115" s="293"/>
      <c r="V115" s="293"/>
      <c r="W115" s="293"/>
      <c r="X115" s="293"/>
      <c r="Y115" s="293"/>
      <c r="Z115" s="293"/>
    </row>
    <row r="116" spans="1:26">
      <c r="A116" s="305"/>
      <c r="B116" s="293"/>
      <c r="C116" s="293"/>
      <c r="D116" s="366"/>
      <c r="E116" s="289"/>
      <c r="F116" s="308"/>
      <c r="G116" s="432"/>
      <c r="H116" s="293"/>
      <c r="I116" s="293"/>
      <c r="J116" s="366"/>
      <c r="K116" s="293"/>
      <c r="L116" s="293"/>
      <c r="M116" s="293"/>
      <c r="N116" s="293"/>
      <c r="O116" s="293"/>
      <c r="P116" s="293"/>
      <c r="Q116" s="293"/>
      <c r="R116" s="293"/>
      <c r="S116" s="293"/>
      <c r="T116" s="293"/>
      <c r="U116" s="293"/>
      <c r="V116" s="293"/>
      <c r="W116" s="293"/>
      <c r="X116" s="293"/>
      <c r="Y116" s="293"/>
      <c r="Z116" s="293"/>
    </row>
    <row r="117" spans="1:26">
      <c r="A117" s="305"/>
      <c r="B117" s="293"/>
      <c r="C117" s="293"/>
      <c r="D117" s="366"/>
      <c r="E117" s="289"/>
      <c r="F117" s="308"/>
      <c r="G117" s="432"/>
      <c r="H117" s="293"/>
      <c r="I117" s="293"/>
      <c r="J117" s="366"/>
      <c r="K117" s="293"/>
      <c r="L117" s="293"/>
      <c r="M117" s="293"/>
      <c r="N117" s="293"/>
      <c r="O117" s="293"/>
      <c r="P117" s="293"/>
      <c r="Q117" s="293"/>
      <c r="R117" s="293"/>
      <c r="S117" s="293"/>
      <c r="T117" s="293"/>
      <c r="U117" s="293"/>
      <c r="V117" s="293"/>
      <c r="W117" s="293"/>
      <c r="X117" s="293"/>
      <c r="Y117" s="293"/>
      <c r="Z117" s="293"/>
    </row>
    <row r="118" spans="1:26">
      <c r="A118" s="305"/>
      <c r="B118" s="293"/>
      <c r="C118" s="293"/>
      <c r="D118" s="366"/>
      <c r="E118" s="289"/>
      <c r="F118" s="308"/>
      <c r="G118" s="432"/>
      <c r="H118" s="293"/>
      <c r="I118" s="293"/>
      <c r="J118" s="366"/>
      <c r="K118" s="293"/>
      <c r="L118" s="293"/>
      <c r="M118" s="293"/>
      <c r="N118" s="293"/>
      <c r="O118" s="293"/>
      <c r="P118" s="293"/>
      <c r="Q118" s="293"/>
      <c r="R118" s="293"/>
      <c r="S118" s="293"/>
      <c r="T118" s="293"/>
      <c r="U118" s="293"/>
      <c r="V118" s="293"/>
      <c r="W118" s="293"/>
      <c r="X118" s="293"/>
      <c r="Y118" s="293"/>
      <c r="Z118" s="293"/>
    </row>
    <row r="119" spans="1:26">
      <c r="A119" s="305"/>
      <c r="B119" s="293"/>
      <c r="C119" s="293"/>
      <c r="D119" s="366"/>
      <c r="E119" s="289"/>
      <c r="F119" s="308"/>
      <c r="G119" s="432"/>
      <c r="H119" s="293"/>
      <c r="I119" s="293"/>
      <c r="J119" s="366"/>
      <c r="K119" s="293"/>
      <c r="L119" s="293"/>
      <c r="M119" s="293"/>
      <c r="N119" s="293"/>
      <c r="O119" s="293"/>
      <c r="P119" s="293"/>
      <c r="Q119" s="293"/>
      <c r="R119" s="293"/>
      <c r="S119" s="293"/>
      <c r="T119" s="293"/>
      <c r="U119" s="293"/>
      <c r="V119" s="293"/>
      <c r="W119" s="293"/>
      <c r="X119" s="293"/>
      <c r="Y119" s="293"/>
      <c r="Z119" s="293"/>
    </row>
    <row r="120" spans="1:26">
      <c r="A120" s="305"/>
      <c r="B120" s="293"/>
      <c r="C120" s="293"/>
      <c r="D120" s="366"/>
      <c r="E120" s="289"/>
      <c r="F120" s="308"/>
      <c r="G120" s="432"/>
      <c r="H120" s="293"/>
      <c r="I120" s="293"/>
      <c r="J120" s="366"/>
      <c r="K120" s="293"/>
      <c r="L120" s="293"/>
      <c r="M120" s="293"/>
      <c r="N120" s="293"/>
      <c r="O120" s="293"/>
      <c r="P120" s="293"/>
      <c r="Q120" s="293"/>
      <c r="R120" s="293"/>
      <c r="S120" s="293"/>
      <c r="T120" s="293"/>
      <c r="U120" s="293"/>
      <c r="V120" s="293"/>
      <c r="W120" s="293"/>
      <c r="X120" s="293"/>
      <c r="Y120" s="293"/>
      <c r="Z120" s="293"/>
    </row>
    <row r="121" spans="1:26">
      <c r="A121" s="305"/>
      <c r="B121" s="293"/>
      <c r="C121" s="293"/>
      <c r="D121" s="366"/>
      <c r="E121" s="289"/>
      <c r="F121" s="308"/>
      <c r="G121" s="432"/>
      <c r="H121" s="293"/>
      <c r="I121" s="293"/>
      <c r="J121" s="366"/>
      <c r="K121" s="293"/>
      <c r="L121" s="293"/>
      <c r="M121" s="293"/>
      <c r="N121" s="293"/>
      <c r="O121" s="293"/>
      <c r="P121" s="293"/>
      <c r="Q121" s="293"/>
      <c r="R121" s="293"/>
      <c r="S121" s="293"/>
      <c r="T121" s="293"/>
      <c r="U121" s="293"/>
      <c r="V121" s="293"/>
      <c r="W121" s="293"/>
      <c r="X121" s="293"/>
      <c r="Y121" s="293"/>
      <c r="Z121" s="293"/>
    </row>
    <row r="122" spans="1:26">
      <c r="A122" s="305"/>
      <c r="B122" s="293"/>
      <c r="C122" s="293"/>
      <c r="D122" s="366"/>
      <c r="E122" s="289"/>
      <c r="F122" s="308"/>
      <c r="G122" s="432"/>
      <c r="H122" s="293"/>
      <c r="I122" s="293"/>
      <c r="J122" s="366"/>
      <c r="K122" s="293"/>
      <c r="L122" s="293"/>
      <c r="M122" s="293"/>
      <c r="N122" s="293"/>
      <c r="O122" s="293"/>
      <c r="P122" s="293"/>
      <c r="Q122" s="293"/>
      <c r="R122" s="293"/>
      <c r="S122" s="293"/>
      <c r="T122" s="293"/>
      <c r="U122" s="293"/>
      <c r="V122" s="293"/>
      <c r="W122" s="293"/>
      <c r="X122" s="293"/>
      <c r="Y122" s="293"/>
      <c r="Z122" s="293"/>
    </row>
    <row r="123" spans="1:26">
      <c r="A123" s="305"/>
      <c r="B123" s="293"/>
      <c r="C123" s="293"/>
      <c r="D123" s="366"/>
      <c r="E123" s="289"/>
      <c r="F123" s="308"/>
      <c r="G123" s="432"/>
      <c r="H123" s="293"/>
      <c r="I123" s="293"/>
      <c r="J123" s="366"/>
      <c r="K123" s="293"/>
      <c r="L123" s="293"/>
      <c r="M123" s="293"/>
      <c r="N123" s="293"/>
      <c r="O123" s="293"/>
      <c r="P123" s="293"/>
      <c r="Q123" s="293"/>
      <c r="R123" s="293"/>
      <c r="S123" s="293"/>
      <c r="T123" s="293"/>
      <c r="U123" s="293"/>
      <c r="V123" s="293"/>
      <c r="W123" s="293"/>
      <c r="X123" s="293"/>
      <c r="Y123" s="293"/>
      <c r="Z123" s="293"/>
    </row>
    <row r="124" spans="1:26">
      <c r="A124" s="305"/>
      <c r="B124" s="293"/>
      <c r="C124" s="293"/>
      <c r="D124" s="366"/>
      <c r="E124" s="289"/>
      <c r="F124" s="308"/>
      <c r="G124" s="432"/>
      <c r="H124" s="293"/>
      <c r="I124" s="293"/>
      <c r="J124" s="366"/>
      <c r="K124" s="293"/>
      <c r="L124" s="293"/>
      <c r="M124" s="293"/>
      <c r="N124" s="293"/>
      <c r="O124" s="293"/>
      <c r="P124" s="293"/>
      <c r="Q124" s="293"/>
      <c r="R124" s="293"/>
      <c r="S124" s="293"/>
      <c r="T124" s="293"/>
      <c r="U124" s="293"/>
      <c r="V124" s="293"/>
      <c r="W124" s="293"/>
      <c r="X124" s="293"/>
      <c r="Y124" s="293"/>
      <c r="Z124" s="293"/>
    </row>
    <row r="125" spans="1:26">
      <c r="A125" s="305"/>
      <c r="B125" s="293"/>
      <c r="C125" s="293"/>
      <c r="D125" s="366"/>
      <c r="E125" s="289"/>
      <c r="F125" s="308"/>
      <c r="G125" s="432"/>
      <c r="H125" s="293"/>
      <c r="I125" s="293"/>
      <c r="J125" s="366"/>
      <c r="K125" s="293"/>
      <c r="L125" s="293"/>
      <c r="M125" s="293"/>
      <c r="N125" s="293"/>
      <c r="O125" s="293"/>
      <c r="P125" s="293"/>
      <c r="Q125" s="293"/>
      <c r="R125" s="293"/>
      <c r="S125" s="293"/>
      <c r="T125" s="293"/>
      <c r="U125" s="293"/>
      <c r="V125" s="293"/>
      <c r="W125" s="293"/>
      <c r="X125" s="293"/>
      <c r="Y125" s="293"/>
      <c r="Z125" s="293"/>
    </row>
    <row r="126" spans="1:26">
      <c r="A126" s="305"/>
      <c r="B126" s="293"/>
      <c r="C126" s="293"/>
      <c r="D126" s="366"/>
      <c r="E126" s="289"/>
      <c r="F126" s="308"/>
      <c r="G126" s="432"/>
      <c r="H126" s="293"/>
      <c r="I126" s="293"/>
      <c r="J126" s="366"/>
      <c r="K126" s="293"/>
      <c r="L126" s="293"/>
      <c r="M126" s="293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3"/>
      <c r="Z126" s="293"/>
    </row>
    <row r="127" spans="1:26">
      <c r="A127" s="305"/>
      <c r="B127" s="293"/>
      <c r="C127" s="293"/>
      <c r="D127" s="366"/>
      <c r="E127" s="289"/>
      <c r="F127" s="308"/>
      <c r="G127" s="432"/>
      <c r="H127" s="293"/>
      <c r="I127" s="293"/>
      <c r="J127" s="366"/>
      <c r="K127" s="293"/>
      <c r="L127" s="293"/>
      <c r="M127" s="293"/>
      <c r="N127" s="293"/>
      <c r="O127" s="293"/>
      <c r="P127" s="293"/>
      <c r="Q127" s="293"/>
      <c r="R127" s="293"/>
      <c r="S127" s="293"/>
      <c r="T127" s="293"/>
      <c r="U127" s="293"/>
      <c r="V127" s="293"/>
      <c r="W127" s="293"/>
      <c r="X127" s="293"/>
      <c r="Y127" s="293"/>
      <c r="Z127" s="293"/>
    </row>
    <row r="128" spans="1:26">
      <c r="A128" s="305"/>
      <c r="B128" s="293"/>
      <c r="C128" s="293"/>
      <c r="D128" s="366"/>
      <c r="E128" s="289"/>
      <c r="F128" s="308"/>
      <c r="G128" s="432"/>
      <c r="H128" s="293"/>
      <c r="I128" s="293"/>
      <c r="J128" s="366"/>
      <c r="K128" s="293"/>
      <c r="L128" s="293"/>
      <c r="M128" s="293"/>
      <c r="N128" s="293"/>
      <c r="O128" s="293"/>
      <c r="P128" s="293"/>
      <c r="Q128" s="293"/>
      <c r="R128" s="293"/>
      <c r="S128" s="293"/>
      <c r="T128" s="293"/>
      <c r="U128" s="293"/>
      <c r="V128" s="293"/>
      <c r="W128" s="293"/>
      <c r="X128" s="293"/>
      <c r="Y128" s="293"/>
      <c r="Z128" s="293"/>
    </row>
    <row r="129" spans="1:26">
      <c r="A129" s="305"/>
      <c r="B129" s="293"/>
      <c r="C129" s="293"/>
      <c r="D129" s="366"/>
      <c r="E129" s="289"/>
      <c r="F129" s="308"/>
      <c r="G129" s="432"/>
      <c r="H129" s="293"/>
      <c r="I129" s="293"/>
      <c r="J129" s="366"/>
      <c r="K129" s="293"/>
      <c r="L129" s="293"/>
      <c r="M129" s="293"/>
      <c r="N129" s="293"/>
      <c r="O129" s="293"/>
      <c r="P129" s="293"/>
      <c r="Q129" s="293"/>
      <c r="R129" s="293"/>
      <c r="S129" s="293"/>
      <c r="T129" s="293"/>
      <c r="U129" s="293"/>
      <c r="V129" s="293"/>
      <c r="W129" s="293"/>
      <c r="X129" s="293"/>
      <c r="Y129" s="293"/>
      <c r="Z129" s="293"/>
    </row>
    <row r="130" spans="1:26">
      <c r="A130" s="305"/>
      <c r="B130" s="293"/>
      <c r="C130" s="293"/>
      <c r="D130" s="366"/>
      <c r="E130" s="289"/>
      <c r="F130" s="308"/>
      <c r="G130" s="432"/>
      <c r="H130" s="293"/>
      <c r="I130" s="293"/>
      <c r="J130" s="366"/>
      <c r="K130" s="293"/>
      <c r="L130" s="293"/>
      <c r="M130" s="293"/>
      <c r="N130" s="293"/>
      <c r="O130" s="293"/>
      <c r="P130" s="293"/>
      <c r="Q130" s="293"/>
      <c r="R130" s="293"/>
      <c r="S130" s="293"/>
      <c r="T130" s="293"/>
      <c r="U130" s="293"/>
      <c r="V130" s="293"/>
      <c r="W130" s="293"/>
      <c r="X130" s="293"/>
      <c r="Y130" s="293"/>
      <c r="Z130" s="293"/>
    </row>
    <row r="131" spans="1:26">
      <c r="A131" s="305"/>
      <c r="B131" s="293"/>
      <c r="C131" s="293"/>
      <c r="D131" s="293"/>
      <c r="E131" s="289"/>
      <c r="F131" s="308"/>
      <c r="G131" s="293"/>
      <c r="H131" s="293"/>
      <c r="I131" s="293"/>
      <c r="J131" s="293"/>
      <c r="K131" s="293"/>
      <c r="L131" s="293"/>
      <c r="M131" s="293"/>
      <c r="N131" s="293"/>
      <c r="O131" s="293"/>
      <c r="P131" s="293"/>
      <c r="Q131" s="293"/>
      <c r="R131" s="293"/>
      <c r="S131" s="293"/>
      <c r="T131" s="293"/>
      <c r="U131" s="293"/>
      <c r="V131" s="293"/>
      <c r="W131" s="293"/>
      <c r="X131" s="293"/>
      <c r="Y131" s="293"/>
      <c r="Z131" s="293"/>
    </row>
    <row r="132" spans="1:26">
      <c r="A132" s="305"/>
      <c r="B132" s="293"/>
      <c r="C132" s="293"/>
      <c r="D132" s="293"/>
      <c r="E132" s="293"/>
      <c r="F132" s="293"/>
      <c r="G132" s="293"/>
      <c r="H132" s="293"/>
      <c r="I132" s="293"/>
      <c r="J132" s="293"/>
      <c r="K132" s="293"/>
      <c r="L132" s="293"/>
      <c r="M132" s="293"/>
      <c r="N132" s="293"/>
      <c r="O132" s="293"/>
      <c r="P132" s="293"/>
      <c r="Q132" s="293"/>
      <c r="R132" s="293"/>
      <c r="S132" s="293"/>
      <c r="T132" s="293"/>
      <c r="U132" s="293"/>
      <c r="V132" s="293"/>
      <c r="W132" s="293"/>
      <c r="X132" s="293"/>
      <c r="Y132" s="293"/>
      <c r="Z132" s="293"/>
    </row>
    <row r="133" spans="1:26" ht="15" customHeight="1">
      <c r="A133" s="305"/>
      <c r="B133" s="293"/>
      <c r="C133" s="745" t="s">
        <v>333</v>
      </c>
      <c r="D133" s="745"/>
      <c r="E133" s="745"/>
      <c r="F133" s="745"/>
      <c r="G133" s="745"/>
      <c r="H133" s="745"/>
      <c r="I133" s="293"/>
      <c r="J133" s="809" t="s">
        <v>210</v>
      </c>
      <c r="K133" s="775" t="s">
        <v>134</v>
      </c>
      <c r="L133" s="784"/>
      <c r="M133" s="775" t="s">
        <v>135</v>
      </c>
      <c r="N133" s="775"/>
      <c r="O133" s="293"/>
      <c r="P133" s="293"/>
      <c r="Q133" s="745" t="s">
        <v>75</v>
      </c>
      <c r="R133" s="745"/>
      <c r="S133" s="293"/>
      <c r="T133" s="809" t="s">
        <v>209</v>
      </c>
      <c r="U133" s="774" t="s">
        <v>73</v>
      </c>
      <c r="V133" s="775"/>
      <c r="W133" s="293"/>
      <c r="X133" s="293"/>
      <c r="Y133" s="293"/>
      <c r="Z133" s="293"/>
    </row>
    <row r="134" spans="1:26">
      <c r="A134" s="305"/>
      <c r="B134" s="293"/>
      <c r="C134" s="755" t="s">
        <v>72</v>
      </c>
      <c r="D134" s="757"/>
      <c r="E134" s="756" t="s">
        <v>73</v>
      </c>
      <c r="F134" s="756"/>
      <c r="G134" s="756"/>
      <c r="H134" s="757"/>
      <c r="I134" s="293"/>
      <c r="J134" s="810"/>
      <c r="K134" s="374" t="s">
        <v>477</v>
      </c>
      <c r="L134" s="375" t="s">
        <v>130</v>
      </c>
      <c r="M134" s="374" t="s">
        <v>477</v>
      </c>
      <c r="N134" s="374" t="s">
        <v>130</v>
      </c>
      <c r="O134" s="293"/>
      <c r="P134" s="293"/>
      <c r="Q134" s="755" t="s">
        <v>73</v>
      </c>
      <c r="R134" s="757"/>
      <c r="S134" s="293"/>
      <c r="T134" s="810"/>
      <c r="U134" s="425" t="s">
        <v>477</v>
      </c>
      <c r="V134" s="425" t="s">
        <v>130</v>
      </c>
      <c r="W134" s="293"/>
      <c r="X134" s="293"/>
      <c r="Y134" s="293"/>
      <c r="Z134" s="293"/>
    </row>
    <row r="135" spans="1:26">
      <c r="A135" s="305"/>
      <c r="B135" s="293"/>
      <c r="C135" s="749" t="s">
        <v>68</v>
      </c>
      <c r="D135" s="750"/>
      <c r="E135" s="749" t="s">
        <v>331</v>
      </c>
      <c r="F135" s="750"/>
      <c r="G135" s="749" t="s">
        <v>332</v>
      </c>
      <c r="H135" s="749"/>
      <c r="I135" s="293"/>
      <c r="J135" s="483" t="s">
        <v>128</v>
      </c>
      <c r="K135" s="334">
        <f>AXB!AG76</f>
        <v>0.65553648237298545</v>
      </c>
      <c r="L135" s="355">
        <f>AXB!AG91</f>
        <v>0.60025142242233043</v>
      </c>
      <c r="M135" s="334">
        <f>AXB!AL76</f>
        <v>2.1728456438205699</v>
      </c>
      <c r="N135" s="334">
        <f>AXB!AL91</f>
        <v>1.9895974113998589</v>
      </c>
      <c r="O135" s="293"/>
      <c r="P135" s="293"/>
      <c r="Q135" s="788" t="s">
        <v>68</v>
      </c>
      <c r="R135" s="788"/>
      <c r="S135" s="293"/>
      <c r="T135" s="483" t="s">
        <v>128</v>
      </c>
      <c r="U135" s="424">
        <f>AXB!AQ76</f>
        <v>2.2522133150566632</v>
      </c>
      <c r="V135" s="424">
        <f>AXB!AQ91</f>
        <v>2.0781721847741705</v>
      </c>
      <c r="W135" s="293"/>
      <c r="X135" s="293"/>
      <c r="Y135" s="293"/>
      <c r="Z135" s="293"/>
    </row>
    <row r="136" spans="1:26">
      <c r="A136" s="305"/>
      <c r="B136" s="293"/>
      <c r="C136" s="341" t="s">
        <v>460</v>
      </c>
      <c r="D136" s="348">
        <f>CRG!J13+CRG!N17</f>
        <v>0.23819871980753116</v>
      </c>
      <c r="E136" s="341" t="s">
        <v>460</v>
      </c>
      <c r="F136" s="348">
        <f>CRG!J14+CRG!N18+CRG!N21*F10</f>
        <v>0.78953508250810878</v>
      </c>
      <c r="G136" s="794">
        <f>CRG!J14+CRG!N18*F9+CRG!N21</f>
        <v>0.65204903780901668</v>
      </c>
      <c r="H136" s="794"/>
      <c r="I136" s="293"/>
      <c r="J136" s="482" t="s">
        <v>129</v>
      </c>
      <c r="K136" s="360">
        <f>AXB!AE81</f>
        <v>0.40971030148311594</v>
      </c>
      <c r="L136" s="361">
        <f>AXB!AE96</f>
        <v>0.46541846138237325</v>
      </c>
      <c r="M136" s="360">
        <f>AXB!AJ81</f>
        <v>1.3580285273878561</v>
      </c>
      <c r="N136" s="360">
        <f>AXB!AJ96</f>
        <v>1.5426791697505629</v>
      </c>
      <c r="O136" s="293"/>
      <c r="P136" s="293"/>
      <c r="Q136" s="328" t="s">
        <v>460</v>
      </c>
      <c r="R136" s="423">
        <f>CRG!J12+CRG!N11*G9</f>
        <v>0.66033971959276216</v>
      </c>
      <c r="S136" s="293"/>
      <c r="T136" s="482" t="s">
        <v>129</v>
      </c>
      <c r="U136" s="426">
        <f>AXB!AO81</f>
        <v>1.4076333219104147</v>
      </c>
      <c r="V136" s="426">
        <f>AXB!AO96</f>
        <v>1.6113576154838567</v>
      </c>
      <c r="W136" s="293"/>
      <c r="X136" s="293"/>
      <c r="Y136" s="293"/>
      <c r="Z136" s="293"/>
    </row>
    <row r="137" spans="1:26">
      <c r="A137" s="305"/>
      <c r="B137" s="293"/>
      <c r="C137" s="803" t="s">
        <v>76</v>
      </c>
      <c r="D137" s="803"/>
      <c r="E137" s="803"/>
      <c r="F137" s="803"/>
      <c r="G137" s="803"/>
      <c r="H137" s="804"/>
      <c r="I137" s="293"/>
      <c r="J137" s="483" t="s">
        <v>128</v>
      </c>
      <c r="K137" s="751">
        <f>LARGE(K135:L135,1)</f>
        <v>0.65553648237298545</v>
      </c>
      <c r="L137" s="752"/>
      <c r="M137" s="751">
        <f>LARGE(M135:N135,1)</f>
        <v>2.1728456438205699</v>
      </c>
      <c r="N137" s="751"/>
      <c r="O137" s="293"/>
      <c r="P137" s="293"/>
      <c r="Q137" s="755" t="s">
        <v>76</v>
      </c>
      <c r="R137" s="757"/>
      <c r="S137" s="293"/>
      <c r="T137" s="483" t="s">
        <v>128</v>
      </c>
      <c r="U137" s="751">
        <f>LARGE(U135:V135,1)</f>
        <v>2.2522133150566632</v>
      </c>
      <c r="V137" s="751"/>
      <c r="W137" s="293"/>
      <c r="X137" s="293"/>
      <c r="Y137" s="293"/>
      <c r="Z137" s="293"/>
    </row>
    <row r="138" spans="1:26">
      <c r="A138" s="305"/>
      <c r="B138" s="293"/>
      <c r="C138" s="430" t="s">
        <v>461</v>
      </c>
      <c r="D138" s="393">
        <f>D136*J112</f>
        <v>0.36698453561351096</v>
      </c>
      <c r="E138" s="430" t="s">
        <v>462</v>
      </c>
      <c r="F138" s="805">
        <f>MAX(F136,G136)*J112</f>
        <v>1.2164094157975922</v>
      </c>
      <c r="G138" s="805"/>
      <c r="H138" s="805"/>
      <c r="I138" s="293"/>
      <c r="J138" s="483" t="s">
        <v>129</v>
      </c>
      <c r="K138" s="815">
        <f>LARGE(K136:L136,1)</f>
        <v>0.46541846138237325</v>
      </c>
      <c r="L138" s="816"/>
      <c r="M138" s="815">
        <f>LARGE(M136:N136,1)</f>
        <v>1.5426791697505629</v>
      </c>
      <c r="N138" s="815"/>
      <c r="O138" s="293"/>
      <c r="P138" s="293"/>
      <c r="Q138" s="371" t="s">
        <v>461</v>
      </c>
      <c r="R138" s="342">
        <f>R136*J112</f>
        <v>1.017362585062239</v>
      </c>
      <c r="S138" s="293"/>
      <c r="T138" s="486" t="s">
        <v>129</v>
      </c>
      <c r="U138" s="817">
        <f>LARGE(U136:V136,1)</f>
        <v>1.6113576154838567</v>
      </c>
      <c r="V138" s="817"/>
      <c r="W138" s="293"/>
      <c r="X138" s="293"/>
      <c r="Y138" s="293"/>
      <c r="Z138" s="293"/>
    </row>
    <row r="139" spans="1:26">
      <c r="A139" s="305"/>
      <c r="B139" s="293"/>
      <c r="C139" s="814" t="s">
        <v>334</v>
      </c>
      <c r="D139" s="814"/>
      <c r="E139" s="814"/>
      <c r="F139" s="814"/>
      <c r="G139" s="814"/>
      <c r="H139" s="814"/>
      <c r="I139" s="293"/>
      <c r="J139" s="293"/>
      <c r="K139" s="293"/>
      <c r="L139" s="293"/>
      <c r="M139" s="293"/>
      <c r="N139" s="293"/>
      <c r="O139" s="293"/>
      <c r="P139" s="293"/>
      <c r="Q139" s="323"/>
      <c r="R139" s="342"/>
      <c r="S139" s="293"/>
      <c r="T139" s="318"/>
      <c r="U139" s="319"/>
      <c r="V139" s="319"/>
      <c r="W139" s="293"/>
      <c r="X139" s="293"/>
      <c r="Y139" s="293"/>
      <c r="Z139" s="293"/>
    </row>
    <row r="140" spans="1:26">
      <c r="A140" s="305"/>
      <c r="B140" s="293"/>
      <c r="C140" s="341" t="s">
        <v>460</v>
      </c>
      <c r="D140" s="394">
        <f>(CRG!J13+CRG!N17*G9)*(1+RST!E10)</f>
        <v>0.30369078256433513</v>
      </c>
      <c r="E140" s="341" t="str">
        <f>E136</f>
        <v>Fd</v>
      </c>
      <c r="F140" s="331">
        <f>(CRG!J14+CRG!N18*G9)*(1+RST!E10)</f>
        <v>1.0066155152413356</v>
      </c>
      <c r="G140" s="428"/>
      <c r="H140" s="428"/>
      <c r="I140" s="293"/>
      <c r="J140" s="293"/>
      <c r="K140" s="293"/>
      <c r="L140" s="293"/>
      <c r="M140" s="293"/>
      <c r="N140" s="293"/>
      <c r="O140" s="293"/>
      <c r="P140" s="293"/>
      <c r="Q140" s="293"/>
      <c r="R140" s="293"/>
      <c r="S140" s="293"/>
      <c r="T140" s="293"/>
      <c r="U140" s="293"/>
      <c r="V140" s="293"/>
      <c r="W140" s="293"/>
      <c r="X140" s="293"/>
      <c r="Y140" s="293"/>
      <c r="Z140" s="293"/>
    </row>
    <row r="141" spans="1:26">
      <c r="A141" s="305"/>
      <c r="B141" s="293"/>
      <c r="C141" s="341" t="s">
        <v>461</v>
      </c>
      <c r="D141" s="427">
        <f>D140*J112</f>
        <v>0.46788589333951802</v>
      </c>
      <c r="E141" s="341" t="s">
        <v>175</v>
      </c>
      <c r="F141" s="392">
        <f>F140*J112</f>
        <v>1.5508577363500879</v>
      </c>
      <c r="G141" s="429"/>
      <c r="H141" s="429"/>
      <c r="I141" s="293"/>
      <c r="J141" s="293"/>
      <c r="K141" s="293"/>
      <c r="L141" s="293"/>
      <c r="M141" s="293"/>
      <c r="N141" s="293"/>
      <c r="O141" s="293"/>
      <c r="P141" s="293"/>
      <c r="Q141" s="293"/>
      <c r="R141" s="293"/>
      <c r="S141" s="293"/>
      <c r="T141" s="293"/>
      <c r="U141" s="293"/>
      <c r="V141" s="293"/>
      <c r="W141" s="293"/>
      <c r="X141" s="293"/>
      <c r="Y141" s="293"/>
      <c r="Z141" s="293"/>
    </row>
    <row r="142" spans="1:26">
      <c r="A142" s="305"/>
      <c r="B142" s="293"/>
      <c r="C142" s="293"/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</row>
    <row r="143" spans="1:26">
      <c r="A143" s="305"/>
      <c r="B143" s="293"/>
      <c r="C143" s="767" t="s">
        <v>86</v>
      </c>
      <c r="D143" s="767"/>
      <c r="E143" s="767"/>
      <c r="F143" s="767"/>
      <c r="G143" s="767"/>
      <c r="H143" s="767"/>
      <c r="I143" s="767"/>
      <c r="J143" s="767"/>
      <c r="K143" s="767"/>
      <c r="L143" s="767"/>
      <c r="M143" s="767"/>
      <c r="N143" s="767"/>
      <c r="O143" s="767"/>
      <c r="P143" s="767"/>
      <c r="Q143" s="293"/>
      <c r="R143" s="293"/>
      <c r="S143" s="293"/>
      <c r="T143" s="293"/>
      <c r="U143" s="293"/>
      <c r="V143" s="293"/>
      <c r="W143" s="293"/>
      <c r="X143" s="293"/>
      <c r="Y143" s="293"/>
      <c r="Z143" s="293"/>
    </row>
    <row r="144" spans="1:26">
      <c r="A144" s="305"/>
      <c r="B144" s="293"/>
      <c r="C144" s="776" t="s">
        <v>74</v>
      </c>
      <c r="D144" s="776"/>
      <c r="E144" s="776"/>
      <c r="F144" s="776"/>
      <c r="G144" s="776"/>
      <c r="H144" s="776"/>
      <c r="I144" s="776"/>
      <c r="J144" s="776"/>
      <c r="K144" s="776"/>
      <c r="L144" s="776"/>
      <c r="M144" s="776"/>
      <c r="N144" s="776"/>
      <c r="O144" s="776"/>
      <c r="P144" s="776"/>
      <c r="Q144" s="293"/>
      <c r="R144" s="293"/>
      <c r="S144" s="293"/>
      <c r="T144" s="293"/>
      <c r="U144" s="293"/>
      <c r="V144" s="293"/>
      <c r="W144" s="293"/>
      <c r="X144" s="293"/>
      <c r="Y144" s="293"/>
      <c r="Z144" s="293"/>
    </row>
    <row r="145" spans="1:26">
      <c r="A145" s="305"/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Y145" s="293"/>
      <c r="Z145" s="293"/>
    </row>
    <row r="146" spans="1:26">
      <c r="A146" s="305"/>
      <c r="B146" s="293"/>
      <c r="C146" s="744" t="s">
        <v>96</v>
      </c>
      <c r="D146" s="744"/>
      <c r="E146" s="744"/>
      <c r="F146" s="744"/>
      <c r="G146" s="744"/>
      <c r="H146" s="744"/>
      <c r="I146" s="744"/>
      <c r="J146" s="744"/>
      <c r="K146" s="744"/>
      <c r="L146" s="744"/>
      <c r="M146" s="744"/>
      <c r="N146" s="744"/>
      <c r="O146" s="744"/>
      <c r="P146" s="744"/>
      <c r="Q146" s="293"/>
      <c r="R146" s="293"/>
      <c r="S146" s="293"/>
      <c r="T146" s="293"/>
      <c r="U146" s="293"/>
      <c r="V146" s="293"/>
      <c r="W146" s="293"/>
      <c r="X146" s="293"/>
      <c r="Y146" s="293"/>
      <c r="Z146" s="293"/>
    </row>
    <row r="147" spans="1:26">
      <c r="A147" s="305"/>
      <c r="B147" s="293"/>
      <c r="C147" s="346" t="s">
        <v>93</v>
      </c>
      <c r="D147" s="395" t="s">
        <v>87</v>
      </c>
      <c r="E147" s="398" t="s">
        <v>94</v>
      </c>
      <c r="F147" s="395" t="s">
        <v>62</v>
      </c>
      <c r="G147" s="395" t="s">
        <v>456</v>
      </c>
      <c r="H147" s="398" t="s">
        <v>455</v>
      </c>
      <c r="I147" s="395" t="s">
        <v>447</v>
      </c>
      <c r="J147" s="398" t="s">
        <v>443</v>
      </c>
      <c r="K147" s="395" t="s">
        <v>467</v>
      </c>
      <c r="L147" s="398" t="s">
        <v>468</v>
      </c>
      <c r="M147" s="403" t="s">
        <v>469</v>
      </c>
      <c r="N147" s="396" t="s">
        <v>470</v>
      </c>
      <c r="O147" s="404" t="s">
        <v>471</v>
      </c>
      <c r="P147" s="396" t="s">
        <v>472</v>
      </c>
      <c r="Q147" s="293"/>
      <c r="R147" s="293"/>
      <c r="S147" s="293"/>
      <c r="T147" s="293"/>
      <c r="U147" s="293"/>
      <c r="V147" s="293"/>
      <c r="W147" s="293"/>
      <c r="X147" s="293"/>
      <c r="Y147" s="293"/>
      <c r="Z147" s="293"/>
    </row>
    <row r="148" spans="1:26">
      <c r="A148" s="305"/>
      <c r="B148" s="293"/>
      <c r="C148" s="350" t="s">
        <v>87</v>
      </c>
      <c r="D148" s="397">
        <f>DSB!$C$36*(AXA!$C$9+AXA!$C$15/4)</f>
        <v>3.7537399507257452</v>
      </c>
      <c r="E148" s="399">
        <f>D148*COS(RADIANS(DSB!$AV$203))</f>
        <v>3.59375</v>
      </c>
      <c r="F148" s="344">
        <f>D148*CRG!$N$21</f>
        <v>0</v>
      </c>
      <c r="G148" s="344">
        <f>F148*COS(RADIANS(DSB!$AV$203))</f>
        <v>0</v>
      </c>
      <c r="H148" s="400">
        <f>F148*SIN(RADIANS(DSB!$AV$203))</f>
        <v>0</v>
      </c>
      <c r="I148" s="345">
        <f>CRG!$N$11*CMB!E148</f>
        <v>0.8984375</v>
      </c>
      <c r="J148" s="401">
        <v>0</v>
      </c>
      <c r="K148" s="345">
        <f>DSB!$C$36*CRG!$J$6*((AXA!$C$9*CRG!$J$12)+(AXA!$C$15/4)*(CRG!$J$17+CRG!$J$12+CRG!$G$17))</f>
        <v>2.2366861329114891</v>
      </c>
      <c r="L148" s="401">
        <v>0</v>
      </c>
      <c r="M148" s="345">
        <f>K148*$D$8+I148*$D$9+G148*$D$10*$E$10</f>
        <v>4.4790168360760845</v>
      </c>
      <c r="N148" s="344">
        <f>K148*$D$8+G148*$D$10*0.75+I148*$D$9*$E$9</f>
        <v>3.8051887110760845</v>
      </c>
      <c r="O148" s="401">
        <f t="shared" ref="O148" si="0">LARGE(M148:N148,1)</f>
        <v>4.4790168360760845</v>
      </c>
      <c r="P148" s="344">
        <f>IF(O148=M148,H148*$D$10,H148*$D$10*0.75)</f>
        <v>0</v>
      </c>
      <c r="Q148" s="293"/>
      <c r="R148" s="293"/>
      <c r="S148" s="293"/>
      <c r="T148" s="293"/>
      <c r="U148" s="293"/>
      <c r="V148" s="293"/>
      <c r="W148" s="293"/>
      <c r="X148" s="293"/>
      <c r="Y148" s="293"/>
      <c r="Z148" s="293"/>
    </row>
    <row r="149" spans="1:26">
      <c r="A149" s="305"/>
      <c r="B149" s="293"/>
      <c r="C149" s="350" t="s">
        <v>88</v>
      </c>
      <c r="D149" s="397">
        <f>DSB!$C$36*AXA!$C$11</f>
        <v>7.375</v>
      </c>
      <c r="E149" s="399">
        <f>D149</f>
        <v>7.375</v>
      </c>
      <c r="F149" s="344">
        <v>0</v>
      </c>
      <c r="G149" s="344">
        <f>F149*COS(RADIANS(DSB!$AV$203))</f>
        <v>0</v>
      </c>
      <c r="H149" s="400">
        <f>F149*SIN(RADIANS(DSB!$AV$203))</f>
        <v>0</v>
      </c>
      <c r="I149" s="345">
        <v>0</v>
      </c>
      <c r="J149" s="401">
        <v>0</v>
      </c>
      <c r="K149" s="345">
        <f>(CRG!$G$17)*CMB!E149</f>
        <v>0</v>
      </c>
      <c r="L149" s="401">
        <v>0</v>
      </c>
      <c r="M149" s="345">
        <f t="shared" ref="M149:M153" si="1">K149*$D$8+I149*$D$9+G149*$D$10*$E$10</f>
        <v>0</v>
      </c>
      <c r="N149" s="344">
        <f t="shared" ref="N149:N153" si="2">K149*$D$8+G149*$D$10*0.75+I149*$D$9*$E$9</f>
        <v>0</v>
      </c>
      <c r="O149" s="401">
        <f t="shared" ref="O149:O153" si="3">LARGE(M149:N149,1)</f>
        <v>0</v>
      </c>
      <c r="P149" s="344">
        <f t="shared" ref="P149:P153" si="4">IF(O149=M149,H149*$D$10,H149*$D$10*0.75)</f>
        <v>0</v>
      </c>
      <c r="Q149" s="293"/>
      <c r="R149" s="293"/>
      <c r="S149" s="293"/>
      <c r="T149" s="293"/>
      <c r="U149" s="293"/>
      <c r="V149" s="293"/>
      <c r="W149" s="293"/>
      <c r="X149" s="293"/>
      <c r="Y149" s="293"/>
      <c r="Z149" s="293"/>
    </row>
    <row r="150" spans="1:26">
      <c r="A150" s="305"/>
      <c r="B150" s="293"/>
      <c r="C150" s="350" t="s">
        <v>89</v>
      </c>
      <c r="D150" s="397">
        <f>D148</f>
        <v>3.7537399507257452</v>
      </c>
      <c r="E150" s="399">
        <f>D150*COS(RADIANS(DSB!$AV$203))</f>
        <v>3.59375</v>
      </c>
      <c r="F150" s="344">
        <f>D150*CRG!$N$21</f>
        <v>0</v>
      </c>
      <c r="G150" s="344">
        <f>F150*COS(RADIANS(DSB!$AV$203))</f>
        <v>0</v>
      </c>
      <c r="H150" s="400">
        <f>F150*SIN(RADIANS(DSB!$AV$203))</f>
        <v>0</v>
      </c>
      <c r="I150" s="345">
        <f>CRG!$N$11*CMB!E150</f>
        <v>0.8984375</v>
      </c>
      <c r="J150" s="401">
        <v>0</v>
      </c>
      <c r="K150" s="345">
        <f>K148</f>
        <v>2.2366861329114891</v>
      </c>
      <c r="L150" s="401">
        <v>0</v>
      </c>
      <c r="M150" s="345">
        <f t="shared" si="1"/>
        <v>4.4790168360760845</v>
      </c>
      <c r="N150" s="344">
        <f t="shared" si="2"/>
        <v>3.8051887110760845</v>
      </c>
      <c r="O150" s="401">
        <f t="shared" si="3"/>
        <v>4.4790168360760845</v>
      </c>
      <c r="P150" s="402">
        <f t="shared" si="4"/>
        <v>0</v>
      </c>
      <c r="Q150" s="293"/>
      <c r="R150" s="293"/>
      <c r="S150" s="293"/>
      <c r="T150" s="293"/>
      <c r="U150" s="293"/>
      <c r="V150" s="293"/>
      <c r="W150" s="293"/>
      <c r="X150" s="293"/>
      <c r="Y150" s="293"/>
      <c r="Z150" s="293"/>
    </row>
    <row r="151" spans="1:26">
      <c r="A151" s="305"/>
      <c r="B151" s="293"/>
      <c r="C151" s="350" t="s">
        <v>90</v>
      </c>
      <c r="D151" s="397">
        <f>DSB!$C$36*AXA!$C$16</f>
        <v>3.8516636016142431</v>
      </c>
      <c r="E151" s="399">
        <f>D151*COS(RADIANS(DSB!$AV$203))</f>
        <v>3.6875</v>
      </c>
      <c r="F151" s="344">
        <f>D151*CRG!$N$21</f>
        <v>0</v>
      </c>
      <c r="G151" s="344">
        <f>F151*COS(RADIANS(DSB!$AV$203))</f>
        <v>0</v>
      </c>
      <c r="H151" s="400">
        <f>F151*SIN(RADIANS(DSB!$AV$203))</f>
        <v>0</v>
      </c>
      <c r="I151" s="345">
        <f>CRG!$N$11*CMB!E151</f>
        <v>0.921875</v>
      </c>
      <c r="J151" s="401">
        <v>0</v>
      </c>
      <c r="K151" s="345">
        <f>(CRG!$J$12+CRG!$J$17)*CMB!E151</f>
        <v>2.4246832472483106</v>
      </c>
      <c r="L151" s="401">
        <v>0</v>
      </c>
      <c r="M151" s="345">
        <f t="shared" si="1"/>
        <v>4.7773690461476352</v>
      </c>
      <c r="N151" s="344">
        <f t="shared" si="2"/>
        <v>4.0859627961476352</v>
      </c>
      <c r="O151" s="401">
        <f t="shared" si="3"/>
        <v>4.7773690461476352</v>
      </c>
      <c r="P151" s="345">
        <f t="shared" si="4"/>
        <v>0</v>
      </c>
      <c r="Q151" s="293"/>
      <c r="R151" s="293"/>
      <c r="S151" s="293"/>
      <c r="T151" s="293"/>
      <c r="U151" s="293"/>
      <c r="V151" s="293"/>
      <c r="W151" s="293"/>
      <c r="X151" s="293"/>
      <c r="Y151" s="293"/>
      <c r="Z151" s="293"/>
    </row>
    <row r="152" spans="1:26">
      <c r="A152" s="305"/>
      <c r="B152" s="293"/>
      <c r="C152" s="350" t="s">
        <v>91</v>
      </c>
      <c r="D152" s="397">
        <f>D151</f>
        <v>3.8516636016142431</v>
      </c>
      <c r="E152" s="399">
        <f>D152*COS(RADIANS(DSB!$AV$203))</f>
        <v>3.6875</v>
      </c>
      <c r="F152" s="344">
        <f>D152*CRG!$N$21</f>
        <v>0</v>
      </c>
      <c r="G152" s="344">
        <f>F152*COS(RADIANS(DSB!$AV$203))</f>
        <v>0</v>
      </c>
      <c r="H152" s="400">
        <f>F152*SIN(RADIANS(DSB!$AV$203))</f>
        <v>0</v>
      </c>
      <c r="I152" s="345">
        <f>CRG!$N$11*CMB!E152</f>
        <v>0.921875</v>
      </c>
      <c r="J152" s="401">
        <v>0</v>
      </c>
      <c r="K152" s="345">
        <f>(CRG!$J$12+CRG!$J$17)*CMB!E152</f>
        <v>2.4246832472483106</v>
      </c>
      <c r="L152" s="401">
        <v>0</v>
      </c>
      <c r="M152" s="345">
        <f t="shared" si="1"/>
        <v>4.7773690461476352</v>
      </c>
      <c r="N152" s="344">
        <f t="shared" si="2"/>
        <v>4.0859627961476352</v>
      </c>
      <c r="O152" s="401">
        <f t="shared" si="3"/>
        <v>4.7773690461476352</v>
      </c>
      <c r="P152" s="344">
        <f t="shared" si="4"/>
        <v>0</v>
      </c>
      <c r="Q152" s="293"/>
      <c r="R152" s="293"/>
      <c r="S152" s="293"/>
      <c r="T152" s="293"/>
      <c r="U152" s="293"/>
      <c r="V152" s="293"/>
      <c r="W152" s="293"/>
      <c r="X152" s="293"/>
      <c r="Y152" s="293"/>
      <c r="Z152" s="293"/>
    </row>
    <row r="153" spans="1:26">
      <c r="A153" s="305"/>
      <c r="B153" s="293"/>
      <c r="C153" s="350" t="s">
        <v>92</v>
      </c>
      <c r="D153" s="397">
        <f>D152</f>
        <v>3.8516636016142431</v>
      </c>
      <c r="E153" s="399">
        <f>D153*COS(RADIANS(DSB!$AV$203))</f>
        <v>3.6875</v>
      </c>
      <c r="F153" s="344">
        <f>D153*CRG!$N$21</f>
        <v>0</v>
      </c>
      <c r="G153" s="344">
        <f>F153*COS(RADIANS(DSB!$AV$203))</f>
        <v>0</v>
      </c>
      <c r="H153" s="400">
        <f>F153*SIN(RADIANS(DSB!$AV$203))</f>
        <v>0</v>
      </c>
      <c r="I153" s="345">
        <f>CRG!$N$11*CMB!E153</f>
        <v>0.921875</v>
      </c>
      <c r="J153" s="401">
        <v>0</v>
      </c>
      <c r="K153" s="345">
        <f>(CRG!$J$12+CRG!$J$17)*CMB!E153</f>
        <v>2.4246832472483106</v>
      </c>
      <c r="L153" s="401">
        <v>0</v>
      </c>
      <c r="M153" s="345">
        <f t="shared" si="1"/>
        <v>4.7773690461476352</v>
      </c>
      <c r="N153" s="344">
        <f t="shared" si="2"/>
        <v>4.0859627961476352</v>
      </c>
      <c r="O153" s="401">
        <f t="shared" si="3"/>
        <v>4.7773690461476352</v>
      </c>
      <c r="P153" s="344">
        <f t="shared" si="4"/>
        <v>0</v>
      </c>
      <c r="Q153" s="293"/>
      <c r="R153" s="293"/>
      <c r="S153" s="293"/>
      <c r="T153" s="293"/>
      <c r="U153" s="293"/>
      <c r="V153" s="293"/>
      <c r="W153" s="293"/>
      <c r="X153" s="293"/>
      <c r="Y153" s="293"/>
      <c r="Z153" s="293"/>
    </row>
    <row r="154" spans="1:26">
      <c r="A154" s="305"/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  <c r="O154" s="293"/>
      <c r="P154" s="293"/>
      <c r="Q154" s="293"/>
      <c r="R154" s="293"/>
      <c r="S154" s="293"/>
      <c r="T154" s="293"/>
      <c r="U154" s="293"/>
      <c r="V154" s="293"/>
      <c r="W154" s="293"/>
      <c r="X154" s="293"/>
      <c r="Y154" s="293"/>
      <c r="Z154" s="293"/>
    </row>
    <row r="155" spans="1:26">
      <c r="A155" s="305"/>
      <c r="B155" s="293"/>
      <c r="C155" s="293"/>
      <c r="D155" s="293"/>
      <c r="E155" s="293"/>
      <c r="F155" s="293"/>
      <c r="G155" s="293"/>
      <c r="H155" s="776" t="s">
        <v>77</v>
      </c>
      <c r="I155" s="776"/>
      <c r="J155" s="293"/>
      <c r="K155" s="293"/>
      <c r="L155" s="293"/>
      <c r="M155" s="293"/>
      <c r="N155" s="293"/>
      <c r="O155" s="293"/>
      <c r="P155" s="293"/>
      <c r="Q155" s="293"/>
      <c r="R155" s="293"/>
      <c r="S155" s="293"/>
      <c r="T155" s="293"/>
      <c r="U155" s="293"/>
      <c r="V155" s="293"/>
      <c r="W155" s="293"/>
      <c r="X155" s="293"/>
      <c r="Y155" s="293"/>
      <c r="Z155" s="293"/>
    </row>
    <row r="156" spans="1:26">
      <c r="A156" s="305"/>
      <c r="B156" s="293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  <c r="N156" s="293"/>
      <c r="O156" s="293"/>
      <c r="P156" s="293"/>
      <c r="Q156" s="293"/>
      <c r="R156" s="293"/>
      <c r="S156" s="293"/>
      <c r="T156" s="293"/>
      <c r="U156" s="293"/>
      <c r="V156" s="293"/>
      <c r="W156" s="293"/>
      <c r="X156" s="293"/>
      <c r="Y156" s="293"/>
      <c r="Z156" s="293"/>
    </row>
    <row r="157" spans="1:26">
      <c r="A157" s="305"/>
      <c r="B157" s="293"/>
      <c r="C157" s="293"/>
      <c r="D157" s="293"/>
      <c r="E157" s="293"/>
      <c r="F157" s="293"/>
      <c r="G157" s="293"/>
      <c r="H157" s="293"/>
      <c r="I157" s="293"/>
      <c r="J157" s="293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U157" s="293"/>
      <c r="V157" s="293"/>
      <c r="W157" s="293"/>
      <c r="X157" s="293"/>
      <c r="Y157" s="293"/>
      <c r="Z157" s="293"/>
    </row>
    <row r="158" spans="1:26">
      <c r="A158" s="305"/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3"/>
      <c r="O158" s="293"/>
      <c r="P158" s="293"/>
      <c r="Q158" s="293"/>
      <c r="R158" s="293"/>
      <c r="S158" s="293"/>
      <c r="T158" s="293"/>
      <c r="U158" s="293"/>
      <c r="V158" s="293"/>
      <c r="W158" s="293"/>
      <c r="X158" s="293"/>
      <c r="Y158" s="293"/>
      <c r="Z158" s="293"/>
    </row>
    <row r="159" spans="1:26">
      <c r="A159" s="305"/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  <c r="O159" s="293"/>
      <c r="P159" s="293"/>
      <c r="Q159" s="293"/>
      <c r="R159" s="293"/>
      <c r="S159" s="293"/>
      <c r="T159" s="293"/>
      <c r="U159" s="293"/>
      <c r="V159" s="293"/>
      <c r="W159" s="293"/>
      <c r="X159" s="293"/>
      <c r="Y159" s="293"/>
      <c r="Z159" s="293"/>
    </row>
    <row r="160" spans="1:26">
      <c r="A160" s="305"/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3"/>
      <c r="O160" s="293"/>
      <c r="P160" s="293"/>
      <c r="Q160" s="293"/>
      <c r="R160" s="293"/>
      <c r="S160" s="293"/>
      <c r="T160" s="293"/>
      <c r="U160" s="293"/>
      <c r="V160" s="293"/>
      <c r="W160" s="293"/>
      <c r="X160" s="293"/>
      <c r="Y160" s="293"/>
      <c r="Z160" s="293"/>
    </row>
    <row r="161" spans="1:26">
      <c r="A161" s="305"/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293"/>
      <c r="M161" s="293"/>
      <c r="N161" s="293"/>
      <c r="O161" s="293"/>
      <c r="P161" s="293"/>
      <c r="Q161" s="293"/>
      <c r="R161" s="293"/>
      <c r="S161" s="293"/>
      <c r="T161" s="293"/>
      <c r="U161" s="293"/>
      <c r="V161" s="293"/>
      <c r="W161" s="293"/>
      <c r="X161" s="293"/>
      <c r="Y161" s="293"/>
      <c r="Z161" s="293"/>
    </row>
    <row r="162" spans="1:26">
      <c r="A162" s="305"/>
      <c r="B162" s="293"/>
      <c r="C162" s="293"/>
      <c r="D162" s="293"/>
      <c r="E162" s="293"/>
      <c r="F162" s="293"/>
      <c r="G162" s="293"/>
      <c r="H162" s="293"/>
      <c r="I162" s="293"/>
      <c r="J162" s="293"/>
      <c r="K162" s="293"/>
      <c r="L162" s="293"/>
      <c r="M162" s="293"/>
      <c r="N162" s="293"/>
      <c r="O162" s="293"/>
      <c r="P162" s="293"/>
      <c r="Q162" s="293"/>
      <c r="R162" s="293"/>
      <c r="S162" s="293"/>
      <c r="T162" s="293"/>
      <c r="U162" s="293"/>
      <c r="V162" s="293"/>
      <c r="W162" s="293"/>
      <c r="X162" s="293"/>
      <c r="Y162" s="293"/>
      <c r="Z162" s="293"/>
    </row>
    <row r="163" spans="1:26">
      <c r="A163" s="305"/>
      <c r="B163" s="293"/>
      <c r="C163" s="293"/>
      <c r="D163" s="293"/>
      <c r="E163" s="293"/>
      <c r="F163" s="293"/>
      <c r="G163" s="293"/>
      <c r="H163" s="293"/>
      <c r="I163" s="293"/>
      <c r="J163" s="293"/>
      <c r="K163" s="293"/>
      <c r="L163" s="293"/>
      <c r="M163" s="293"/>
      <c r="N163" s="293"/>
      <c r="O163" s="293"/>
      <c r="P163" s="293"/>
      <c r="Q163" s="293"/>
      <c r="R163" s="293"/>
      <c r="S163" s="293"/>
      <c r="T163" s="293"/>
      <c r="U163" s="293"/>
      <c r="V163" s="293"/>
      <c r="W163" s="293"/>
      <c r="X163" s="293"/>
      <c r="Y163" s="293"/>
      <c r="Z163" s="293"/>
    </row>
    <row r="164" spans="1:26">
      <c r="A164" s="305"/>
      <c r="B164" s="293"/>
      <c r="C164" s="293"/>
      <c r="D164" s="293"/>
      <c r="E164" s="293"/>
      <c r="F164" s="293"/>
      <c r="G164" s="293"/>
      <c r="H164" s="293"/>
      <c r="I164" s="293"/>
      <c r="J164" s="293"/>
      <c r="K164" s="293"/>
      <c r="L164" s="293"/>
      <c r="M164" s="293"/>
      <c r="N164" s="293"/>
      <c r="O164" s="293"/>
      <c r="P164" s="293"/>
      <c r="Q164" s="293"/>
      <c r="R164" s="293"/>
      <c r="S164" s="293"/>
      <c r="T164" s="293"/>
      <c r="U164" s="293"/>
      <c r="V164" s="293"/>
      <c r="W164" s="293"/>
      <c r="X164" s="293"/>
      <c r="Y164" s="293"/>
      <c r="Z164" s="293"/>
    </row>
    <row r="165" spans="1:26">
      <c r="A165" s="305"/>
      <c r="B165" s="293"/>
      <c r="C165" s="293"/>
      <c r="D165" s="293"/>
      <c r="E165" s="293"/>
      <c r="F165" s="293"/>
      <c r="G165" s="293"/>
      <c r="H165" s="293"/>
      <c r="I165" s="293"/>
      <c r="J165" s="293"/>
      <c r="K165" s="293"/>
      <c r="L165" s="293"/>
      <c r="M165" s="293"/>
      <c r="N165" s="293"/>
      <c r="O165" s="293"/>
      <c r="P165" s="293"/>
      <c r="Q165" s="293"/>
      <c r="R165" s="293"/>
      <c r="S165" s="293"/>
      <c r="T165" s="293"/>
      <c r="U165" s="293"/>
      <c r="V165" s="293"/>
      <c r="W165" s="293"/>
      <c r="X165" s="293"/>
      <c r="Y165" s="293"/>
      <c r="Z165" s="293"/>
    </row>
    <row r="166" spans="1:26">
      <c r="A166" s="305"/>
      <c r="B166" s="293"/>
      <c r="C166" s="293"/>
      <c r="D166" s="293"/>
      <c r="E166" s="293"/>
      <c r="F166" s="293"/>
      <c r="G166" s="293"/>
      <c r="H166" s="293"/>
      <c r="I166" s="293"/>
      <c r="J166" s="293"/>
      <c r="K166" s="293"/>
      <c r="L166" s="293"/>
      <c r="M166" s="293"/>
      <c r="N166" s="293"/>
      <c r="O166" s="293"/>
      <c r="P166" s="293"/>
      <c r="Q166" s="293"/>
      <c r="R166" s="293"/>
      <c r="S166" s="293"/>
      <c r="T166" s="293"/>
      <c r="U166" s="293"/>
      <c r="V166" s="293"/>
      <c r="W166" s="293"/>
      <c r="X166" s="293"/>
      <c r="Y166" s="293"/>
      <c r="Z166" s="293"/>
    </row>
    <row r="167" spans="1:26">
      <c r="A167" s="305"/>
      <c r="B167" s="293"/>
      <c r="C167" s="293"/>
      <c r="D167" s="293"/>
      <c r="E167" s="293"/>
      <c r="F167" s="293"/>
      <c r="G167" s="293"/>
      <c r="H167" s="293"/>
      <c r="I167" s="293"/>
      <c r="J167" s="293"/>
      <c r="K167" s="293"/>
      <c r="L167" s="293"/>
      <c r="M167" s="293"/>
      <c r="N167" s="293"/>
      <c r="O167" s="293"/>
      <c r="P167" s="293"/>
      <c r="Q167" s="293"/>
      <c r="R167" s="293"/>
      <c r="S167" s="293"/>
      <c r="T167" s="293"/>
      <c r="U167" s="293"/>
      <c r="V167" s="293"/>
      <c r="W167" s="293"/>
      <c r="X167" s="293"/>
      <c r="Y167" s="293"/>
      <c r="Z167" s="293"/>
    </row>
    <row r="168" spans="1:26">
      <c r="A168" s="305"/>
      <c r="B168" s="293"/>
      <c r="C168" s="293"/>
      <c r="D168" s="293"/>
      <c r="E168" s="293"/>
      <c r="F168" s="293"/>
      <c r="G168" s="293"/>
      <c r="H168" s="293"/>
      <c r="I168" s="293"/>
      <c r="J168" s="293"/>
      <c r="K168" s="293"/>
      <c r="L168" s="293"/>
      <c r="M168" s="293"/>
      <c r="N168" s="293"/>
      <c r="O168" s="293"/>
      <c r="P168" s="293"/>
      <c r="Q168" s="293"/>
      <c r="R168" s="293"/>
      <c r="S168" s="293"/>
      <c r="T168" s="293"/>
      <c r="U168" s="293"/>
      <c r="V168" s="293"/>
      <c r="W168" s="293"/>
      <c r="X168" s="293"/>
      <c r="Y168" s="293"/>
      <c r="Z168" s="293"/>
    </row>
    <row r="169" spans="1:26">
      <c r="A169" s="305"/>
      <c r="B169" s="293"/>
      <c r="C169" s="293"/>
      <c r="D169" s="293"/>
      <c r="E169" s="293"/>
      <c r="F169" s="293"/>
      <c r="G169" s="293"/>
      <c r="H169" s="293"/>
      <c r="I169" s="293"/>
      <c r="J169" s="293"/>
      <c r="K169" s="293"/>
      <c r="L169" s="293"/>
      <c r="M169" s="293"/>
      <c r="N169" s="293"/>
      <c r="O169" s="293"/>
      <c r="P169" s="293"/>
      <c r="Q169" s="293"/>
      <c r="R169" s="293"/>
      <c r="S169" s="293"/>
      <c r="T169" s="293"/>
      <c r="U169" s="293"/>
      <c r="V169" s="293"/>
      <c r="W169" s="293"/>
      <c r="X169" s="293"/>
      <c r="Y169" s="293"/>
      <c r="Z169" s="293"/>
    </row>
    <row r="170" spans="1:26">
      <c r="A170" s="305"/>
      <c r="B170" s="293"/>
      <c r="C170" s="293"/>
      <c r="D170" s="293"/>
      <c r="E170" s="293"/>
      <c r="F170" s="293"/>
      <c r="G170" s="293"/>
      <c r="H170" s="293"/>
      <c r="I170" s="293"/>
      <c r="J170" s="293"/>
      <c r="K170" s="293"/>
      <c r="L170" s="293"/>
      <c r="M170" s="293"/>
      <c r="N170" s="293"/>
      <c r="O170" s="293"/>
      <c r="P170" s="293"/>
      <c r="Q170" s="293"/>
      <c r="R170" s="293"/>
      <c r="S170" s="293"/>
      <c r="T170" s="293"/>
      <c r="U170" s="293"/>
      <c r="V170" s="293"/>
      <c r="W170" s="293"/>
      <c r="X170" s="293"/>
      <c r="Y170" s="293"/>
      <c r="Z170" s="293"/>
    </row>
    <row r="171" spans="1:26">
      <c r="A171" s="305"/>
      <c r="B171" s="293"/>
      <c r="C171" s="293"/>
      <c r="D171" s="293"/>
      <c r="E171" s="293"/>
      <c r="F171" s="293"/>
      <c r="G171" s="293"/>
      <c r="H171" s="293"/>
      <c r="I171" s="293"/>
      <c r="J171" s="293"/>
      <c r="K171" s="293"/>
      <c r="L171" s="293"/>
      <c r="M171" s="293"/>
      <c r="N171" s="293"/>
      <c r="O171" s="293"/>
      <c r="P171" s="293"/>
      <c r="Q171" s="293"/>
      <c r="R171" s="293"/>
      <c r="S171" s="293"/>
      <c r="T171" s="293"/>
      <c r="U171" s="293"/>
      <c r="V171" s="293"/>
      <c r="W171" s="293"/>
      <c r="X171" s="293"/>
      <c r="Y171" s="293"/>
      <c r="Z171" s="293"/>
    </row>
    <row r="172" spans="1:26">
      <c r="A172" s="305"/>
      <c r="B172" s="293"/>
      <c r="C172" s="293"/>
      <c r="D172" s="293"/>
      <c r="E172" s="293"/>
      <c r="F172" s="293"/>
      <c r="G172" s="293"/>
      <c r="H172" s="293"/>
      <c r="I172" s="293"/>
      <c r="J172" s="293"/>
      <c r="K172" s="293"/>
      <c r="L172" s="293"/>
      <c r="M172" s="293"/>
      <c r="N172" s="293"/>
      <c r="O172" s="293"/>
      <c r="P172" s="293"/>
      <c r="Q172" s="293"/>
      <c r="R172" s="293"/>
      <c r="S172" s="293"/>
      <c r="T172" s="293"/>
      <c r="U172" s="293"/>
      <c r="V172" s="293"/>
      <c r="W172" s="293"/>
      <c r="X172" s="293"/>
      <c r="Y172" s="293"/>
      <c r="Z172" s="293"/>
    </row>
    <row r="173" spans="1:26">
      <c r="A173" s="305"/>
      <c r="B173" s="293"/>
      <c r="C173" s="293"/>
      <c r="D173" s="293"/>
      <c r="E173" s="293"/>
      <c r="F173" s="293"/>
      <c r="G173" s="293"/>
      <c r="H173" s="293"/>
      <c r="I173" s="293"/>
      <c r="J173" s="293"/>
      <c r="K173" s="293"/>
      <c r="L173" s="293"/>
      <c r="M173" s="293"/>
      <c r="N173" s="293"/>
      <c r="O173" s="293"/>
      <c r="P173" s="293"/>
      <c r="Q173" s="293"/>
      <c r="R173" s="293"/>
      <c r="S173" s="293"/>
      <c r="T173" s="293"/>
      <c r="U173" s="293"/>
      <c r="V173" s="293"/>
      <c r="W173" s="293"/>
      <c r="X173" s="293"/>
      <c r="Y173" s="293"/>
      <c r="Z173" s="293"/>
    </row>
    <row r="174" spans="1:26">
      <c r="A174" s="305"/>
      <c r="B174" s="293"/>
      <c r="C174" s="293"/>
      <c r="D174" s="293"/>
      <c r="E174" s="293"/>
      <c r="F174" s="293"/>
      <c r="G174" s="293"/>
      <c r="H174" s="293"/>
      <c r="I174" s="293"/>
      <c r="J174" s="293"/>
      <c r="K174" s="293"/>
      <c r="L174" s="293"/>
      <c r="M174" s="293"/>
      <c r="N174" s="293"/>
      <c r="O174" s="293"/>
      <c r="P174" s="293"/>
      <c r="Q174" s="293"/>
      <c r="R174" s="293"/>
      <c r="S174" s="293"/>
      <c r="T174" s="293"/>
      <c r="U174" s="293"/>
      <c r="V174" s="293"/>
      <c r="W174" s="293"/>
      <c r="X174" s="293"/>
      <c r="Y174" s="293"/>
      <c r="Z174" s="293"/>
    </row>
    <row r="175" spans="1:26">
      <c r="A175" s="305"/>
      <c r="B175" s="293"/>
      <c r="C175" s="293"/>
      <c r="D175" s="293"/>
      <c r="E175" s="293"/>
      <c r="F175" s="293"/>
      <c r="G175" s="293"/>
      <c r="H175" s="293"/>
      <c r="I175" s="293"/>
      <c r="J175" s="293"/>
      <c r="K175" s="293"/>
      <c r="L175" s="293"/>
      <c r="M175" s="293"/>
      <c r="N175" s="293"/>
      <c r="O175" s="293"/>
      <c r="P175" s="293"/>
      <c r="Q175" s="293"/>
      <c r="R175" s="293"/>
      <c r="S175" s="293"/>
      <c r="T175" s="293"/>
      <c r="U175" s="293"/>
      <c r="V175" s="293"/>
      <c r="W175" s="293"/>
      <c r="X175" s="293"/>
      <c r="Y175" s="293"/>
      <c r="Z175" s="293"/>
    </row>
    <row r="176" spans="1:26">
      <c r="A176" s="305"/>
      <c r="B176" s="293"/>
      <c r="C176" s="293"/>
      <c r="D176" s="293"/>
      <c r="E176" s="293"/>
      <c r="F176" s="293"/>
      <c r="G176" s="293"/>
      <c r="H176" s="293"/>
      <c r="I176" s="293"/>
      <c r="J176" s="293"/>
      <c r="K176" s="293"/>
      <c r="L176" s="293"/>
      <c r="M176" s="293"/>
      <c r="N176" s="293"/>
      <c r="O176" s="293"/>
      <c r="P176" s="293"/>
      <c r="Q176" s="293"/>
      <c r="R176" s="293"/>
      <c r="S176" s="293"/>
      <c r="T176" s="293"/>
      <c r="U176" s="293"/>
      <c r="V176" s="293"/>
      <c r="W176" s="293"/>
      <c r="X176" s="293"/>
      <c r="Y176" s="293"/>
      <c r="Z176" s="293"/>
    </row>
    <row r="177" spans="1:26">
      <c r="A177" s="305"/>
      <c r="B177" s="293"/>
      <c r="C177" s="293"/>
      <c r="D177" s="293"/>
      <c r="E177" s="293"/>
      <c r="F177" s="293"/>
      <c r="G177" s="293"/>
      <c r="H177" s="293"/>
      <c r="I177" s="293"/>
      <c r="J177" s="293"/>
      <c r="K177" s="293"/>
      <c r="L177" s="293"/>
      <c r="M177" s="293"/>
      <c r="N177" s="293"/>
      <c r="O177" s="293"/>
      <c r="P177" s="293"/>
      <c r="Q177" s="293"/>
      <c r="R177" s="293"/>
      <c r="S177" s="293"/>
      <c r="T177" s="293"/>
      <c r="U177" s="293"/>
      <c r="V177" s="293"/>
      <c r="W177" s="293"/>
      <c r="X177" s="293"/>
      <c r="Y177" s="293"/>
      <c r="Z177" s="293"/>
    </row>
    <row r="178" spans="1:26">
      <c r="A178" s="305"/>
      <c r="B178" s="293"/>
      <c r="C178" s="293"/>
      <c r="D178" s="293"/>
      <c r="E178" s="293"/>
      <c r="F178" s="293"/>
      <c r="G178" s="293"/>
      <c r="H178" s="293"/>
      <c r="I178" s="293"/>
      <c r="J178" s="293"/>
      <c r="K178" s="293"/>
      <c r="L178" s="293"/>
      <c r="M178" s="293"/>
      <c r="N178" s="293"/>
      <c r="O178" s="293"/>
      <c r="P178" s="293"/>
      <c r="Q178" s="293"/>
      <c r="R178" s="293"/>
      <c r="S178" s="293"/>
      <c r="T178" s="293"/>
      <c r="U178" s="293"/>
      <c r="V178" s="293"/>
      <c r="W178" s="293"/>
      <c r="X178" s="293"/>
      <c r="Y178" s="293"/>
      <c r="Z178" s="293"/>
    </row>
    <row r="179" spans="1:26">
      <c r="A179" s="305"/>
      <c r="B179" s="293"/>
      <c r="C179" s="293"/>
      <c r="D179" s="293"/>
      <c r="E179" s="293"/>
      <c r="F179" s="293"/>
      <c r="G179" s="293"/>
      <c r="H179" s="293"/>
      <c r="I179" s="293"/>
      <c r="J179" s="293"/>
      <c r="K179" s="293"/>
      <c r="L179" s="293"/>
      <c r="M179" s="293"/>
      <c r="N179" s="293"/>
      <c r="O179" s="293"/>
      <c r="P179" s="293"/>
      <c r="Q179" s="293"/>
      <c r="R179" s="293"/>
      <c r="S179" s="293"/>
      <c r="T179" s="293"/>
      <c r="U179" s="293"/>
      <c r="V179" s="293"/>
      <c r="W179" s="293"/>
      <c r="X179" s="293"/>
      <c r="Y179" s="293"/>
      <c r="Z179" s="293"/>
    </row>
    <row r="180" spans="1:26">
      <c r="A180" s="302"/>
      <c r="B180" s="271"/>
      <c r="C180" s="271"/>
      <c r="D180" s="271"/>
      <c r="E180" s="271"/>
      <c r="F180" s="271"/>
      <c r="G180" s="271"/>
      <c r="H180" s="271"/>
      <c r="I180" s="271"/>
      <c r="J180" s="271"/>
      <c r="K180" s="271"/>
      <c r="L180" s="271"/>
      <c r="M180" s="271"/>
      <c r="N180" s="271"/>
      <c r="O180" s="271"/>
      <c r="P180" s="271"/>
      <c r="Q180" s="271"/>
      <c r="R180" s="271"/>
      <c r="S180" s="271"/>
      <c r="T180" s="271"/>
      <c r="U180" s="271"/>
      <c r="V180" s="271"/>
      <c r="W180" s="271"/>
      <c r="X180" s="271"/>
      <c r="Y180" s="271"/>
      <c r="Z180" s="271"/>
    </row>
    <row r="181" spans="1:26">
      <c r="A181" s="302"/>
      <c r="B181" s="271"/>
      <c r="C181" s="744" t="s">
        <v>260</v>
      </c>
      <c r="D181" s="744"/>
      <c r="E181" s="744"/>
      <c r="F181" s="744"/>
      <c r="G181" s="744"/>
      <c r="H181" s="812"/>
      <c r="I181" s="744" t="s">
        <v>476</v>
      </c>
      <c r="J181" s="744"/>
      <c r="K181" s="744"/>
      <c r="L181" s="744"/>
      <c r="M181" s="744"/>
      <c r="N181" s="744"/>
      <c r="O181" s="271"/>
      <c r="P181" s="271"/>
      <c r="Q181" s="271"/>
      <c r="R181" s="271"/>
      <c r="S181" s="271"/>
      <c r="T181" s="271"/>
      <c r="U181" s="271"/>
      <c r="V181" s="271"/>
      <c r="W181" s="271"/>
      <c r="X181" s="271"/>
      <c r="Y181" s="271"/>
      <c r="Z181" s="271"/>
    </row>
    <row r="182" spans="1:26">
      <c r="A182" s="302"/>
      <c r="B182" s="271"/>
      <c r="C182" s="419"/>
      <c r="D182" s="408" t="s">
        <v>132</v>
      </c>
      <c r="E182" s="408" t="s">
        <v>131</v>
      </c>
      <c r="F182" s="408" t="s">
        <v>145</v>
      </c>
      <c r="G182" s="408" t="s">
        <v>473</v>
      </c>
      <c r="H182" s="406" t="s">
        <v>474</v>
      </c>
      <c r="I182" s="417" t="s">
        <v>133</v>
      </c>
      <c r="J182" s="418" t="s">
        <v>132</v>
      </c>
      <c r="K182" s="418" t="s">
        <v>131</v>
      </c>
      <c r="L182" s="408" t="s">
        <v>145</v>
      </c>
      <c r="M182" s="408" t="s">
        <v>473</v>
      </c>
      <c r="N182" s="408" t="s">
        <v>474</v>
      </c>
      <c r="O182" s="271"/>
      <c r="P182" s="271"/>
      <c r="Q182" s="271"/>
      <c r="R182" s="271"/>
      <c r="S182" s="271"/>
      <c r="T182" s="271"/>
      <c r="U182" s="271"/>
      <c r="V182" s="271"/>
      <c r="W182" s="271"/>
      <c r="X182" s="271"/>
      <c r="Y182" s="271"/>
      <c r="Z182" s="271"/>
    </row>
    <row r="183" spans="1:26">
      <c r="A183" s="302"/>
      <c r="B183" s="271"/>
      <c r="C183" s="746" t="s">
        <v>162</v>
      </c>
      <c r="D183" s="435">
        <v>3</v>
      </c>
      <c r="E183" s="436">
        <f>AXB!$G$103</f>
        <v>24.81009231441627</v>
      </c>
      <c r="F183" s="437">
        <f>AXA!$C$16</f>
        <v>1.5406654406456972</v>
      </c>
      <c r="G183" s="436">
        <f>AXB!$Q$103</f>
        <v>17.379527988685314</v>
      </c>
      <c r="H183" s="438">
        <f>AXB!$AA$103</f>
        <v>4.7875313025682651</v>
      </c>
      <c r="I183" s="439">
        <v>1</v>
      </c>
      <c r="J183" s="440">
        <f>INDEX($D$183:$D$184,MATCH(K183,$E$183:$E$184,0))</f>
        <v>3</v>
      </c>
      <c r="K183" s="441">
        <f>LARGE($E$183:$E$184,I183)</f>
        <v>24.81009231441627</v>
      </c>
      <c r="L183" s="437">
        <f>VLOOKUP(J183,$D$183:$F$184,3)</f>
        <v>1.5406654406456972</v>
      </c>
      <c r="M183" s="436">
        <f>VLOOKUP(J183,$D$183:$G$184,4)</f>
        <v>17.379527988685314</v>
      </c>
      <c r="N183" s="436">
        <f>VLOOKUP(J183,$D$183:$H$184,5)</f>
        <v>4.7875313025682651</v>
      </c>
      <c r="O183" s="271"/>
      <c r="P183" s="271"/>
      <c r="Q183" s="271"/>
      <c r="R183" s="271"/>
      <c r="S183" s="271"/>
      <c r="T183" s="271"/>
      <c r="U183" s="271"/>
      <c r="V183" s="271"/>
      <c r="W183" s="271"/>
      <c r="X183" s="271"/>
      <c r="Y183" s="271"/>
      <c r="Z183" s="271"/>
    </row>
    <row r="184" spans="1:26">
      <c r="A184" s="302"/>
      <c r="B184" s="271"/>
      <c r="C184" s="746"/>
      <c r="D184" s="435">
        <v>8</v>
      </c>
      <c r="E184" s="436">
        <f>AXB!$G$106</f>
        <v>16.54006154294418</v>
      </c>
      <c r="F184" s="437">
        <f>AXA!$C$16</f>
        <v>1.5406654406456972</v>
      </c>
      <c r="G184" s="436">
        <f>AXB!$Q$106</f>
        <v>13.182195759979631</v>
      </c>
      <c r="H184" s="442">
        <f>AXB!$AA$106</f>
        <v>3.1916875350455101</v>
      </c>
      <c r="I184" s="439">
        <v>2</v>
      </c>
      <c r="J184" s="440">
        <f>INDEX($D$183:$D$185,MATCH(K184,$E$183:$E$185,0))</f>
        <v>8</v>
      </c>
      <c r="K184" s="441">
        <f>LARGE($E$183:$E$184,I184)</f>
        <v>16.54006154294418</v>
      </c>
      <c r="L184" s="437">
        <f>VLOOKUP(J184,$D$183:$F$184,3)</f>
        <v>1.5406654406456972</v>
      </c>
      <c r="M184" s="436">
        <f>VLOOKUP(J184,$D$183:$G$184,4)</f>
        <v>13.182195759979631</v>
      </c>
      <c r="N184" s="436">
        <f>VLOOKUP(J184,$D$183:$H$184,5)</f>
        <v>3.1916875350455101</v>
      </c>
      <c r="O184" s="271"/>
      <c r="P184" s="271"/>
      <c r="Q184" s="271"/>
      <c r="R184" s="271"/>
      <c r="S184" s="271"/>
      <c r="T184" s="271"/>
      <c r="U184" s="271"/>
      <c r="V184" s="271"/>
      <c r="W184" s="271"/>
      <c r="X184" s="271"/>
      <c r="Y184" s="271"/>
      <c r="Z184" s="271"/>
    </row>
    <row r="185" spans="1:26">
      <c r="A185" s="302"/>
      <c r="B185" s="271"/>
      <c r="C185" s="747"/>
      <c r="D185" s="443" t="s">
        <v>64</v>
      </c>
      <c r="E185" s="443" t="s">
        <v>64</v>
      </c>
      <c r="F185" s="443" t="s">
        <v>64</v>
      </c>
      <c r="G185" s="443" t="s">
        <v>64</v>
      </c>
      <c r="H185" s="444" t="s">
        <v>64</v>
      </c>
      <c r="I185" s="445" t="s">
        <v>64</v>
      </c>
      <c r="J185" s="443" t="s">
        <v>64</v>
      </c>
      <c r="K185" s="443" t="s">
        <v>64</v>
      </c>
      <c r="L185" s="443" t="s">
        <v>64</v>
      </c>
      <c r="M185" s="443" t="s">
        <v>64</v>
      </c>
      <c r="N185" s="443" t="s">
        <v>64</v>
      </c>
      <c r="O185" s="271"/>
      <c r="P185" s="271"/>
      <c r="Q185" s="271"/>
      <c r="R185" s="271"/>
      <c r="S185" s="271"/>
      <c r="T185" s="271"/>
      <c r="U185" s="271"/>
      <c r="V185" s="271"/>
      <c r="W185" s="271"/>
      <c r="X185" s="271"/>
      <c r="Y185" s="271"/>
      <c r="Z185" s="271"/>
    </row>
    <row r="186" spans="1:26">
      <c r="A186" s="302"/>
      <c r="B186" s="271"/>
      <c r="C186" s="811" t="s">
        <v>163</v>
      </c>
      <c r="D186" s="435">
        <v>4</v>
      </c>
      <c r="E186" s="436">
        <f>AXB!$G$105</f>
        <v>8.27003077147209</v>
      </c>
      <c r="F186" s="437">
        <f>AXA!$C$16</f>
        <v>1.5406654406456972</v>
      </c>
      <c r="G186" s="436">
        <f>AXB!$Q$105</f>
        <v>4.197332228705684</v>
      </c>
      <c r="H186" s="442">
        <f>AXB!$AA$105</f>
        <v>1.595843767522755</v>
      </c>
      <c r="I186" s="439">
        <v>1</v>
      </c>
      <c r="J186" s="440">
        <f>INDEX($D$186:$D$187,MATCH(K186,$E$186:$E$187,0))</f>
        <v>4</v>
      </c>
      <c r="K186" s="441">
        <f>LARGE($E$186,I186)</f>
        <v>8.27003077147209</v>
      </c>
      <c r="L186" s="437">
        <f>VLOOKUP(J186,$D$186:$F$186,3)</f>
        <v>1.5406654406456972</v>
      </c>
      <c r="M186" s="436">
        <f>VLOOKUP(J186,$D$186:$G$186,4)</f>
        <v>4.197332228705684</v>
      </c>
      <c r="N186" s="436">
        <f>VLOOKUP(J186,$D$186:$H$186,5)</f>
        <v>1.595843767522755</v>
      </c>
      <c r="O186" s="271"/>
      <c r="P186" s="271"/>
      <c r="Q186" s="271"/>
      <c r="R186" s="271"/>
      <c r="S186" s="271"/>
      <c r="T186" s="271"/>
      <c r="U186" s="271"/>
      <c r="V186" s="271"/>
      <c r="W186" s="271"/>
      <c r="X186" s="271"/>
      <c r="Y186" s="271"/>
      <c r="Z186" s="271"/>
    </row>
    <row r="187" spans="1:26">
      <c r="A187" s="302"/>
      <c r="B187" s="271"/>
      <c r="C187" s="813"/>
      <c r="D187" s="443" t="s">
        <v>64</v>
      </c>
      <c r="E187" s="443" t="s">
        <v>64</v>
      </c>
      <c r="F187" s="443" t="s">
        <v>64</v>
      </c>
      <c r="G187" s="443" t="s">
        <v>64</v>
      </c>
      <c r="H187" s="444" t="s">
        <v>64</v>
      </c>
      <c r="I187" s="445" t="s">
        <v>64</v>
      </c>
      <c r="J187" s="443" t="s">
        <v>64</v>
      </c>
      <c r="K187" s="443" t="s">
        <v>64</v>
      </c>
      <c r="L187" s="443" t="s">
        <v>64</v>
      </c>
      <c r="M187" s="443" t="s">
        <v>64</v>
      </c>
      <c r="N187" s="443" t="s">
        <v>64</v>
      </c>
      <c r="O187" s="271"/>
      <c r="P187" s="271"/>
      <c r="Q187" s="271"/>
      <c r="R187" s="271"/>
      <c r="S187" s="271"/>
      <c r="T187" s="271"/>
      <c r="U187" s="271"/>
      <c r="V187" s="271"/>
      <c r="W187" s="271"/>
      <c r="X187" s="271"/>
      <c r="Y187" s="271"/>
      <c r="Z187" s="271"/>
    </row>
    <row r="188" spans="1:26" ht="15" customHeight="1">
      <c r="A188" s="302"/>
      <c r="B188" s="271"/>
      <c r="C188" s="762" t="s">
        <v>164</v>
      </c>
      <c r="D188" s="446">
        <v>1</v>
      </c>
      <c r="E188" s="447">
        <f>AXB!$G$104</f>
        <v>23.752649471014927</v>
      </c>
      <c r="F188" s="448">
        <f>AXA!$C$11</f>
        <v>2.95</v>
      </c>
      <c r="G188" s="447">
        <f>AXB!$Q$104</f>
        <v>16.638786791094127</v>
      </c>
      <c r="H188" s="449">
        <f>AXB!$AA$104</f>
        <v>4.5834796348314599</v>
      </c>
      <c r="I188" s="450">
        <v>1</v>
      </c>
      <c r="J188" s="451">
        <f>INDEX($D$188:$D$191,MATCH(K188,$E$188:$E$191,0))</f>
        <v>1</v>
      </c>
      <c r="K188" s="452">
        <f>LARGE($E$188,I188)</f>
        <v>23.752649471014927</v>
      </c>
      <c r="L188" s="448">
        <f>VLOOKUP(J188,$D$188:$F$188,3)</f>
        <v>2.95</v>
      </c>
      <c r="M188" s="447">
        <f>VLOOKUP(J188,$D$188:$G$188,4)</f>
        <v>16.638786791094127</v>
      </c>
      <c r="N188" s="447">
        <f>VLOOKUP(J188,$D$188:$H$188,5)</f>
        <v>4.5834796348314599</v>
      </c>
      <c r="O188" s="271"/>
      <c r="P188" s="271"/>
      <c r="Q188" s="271"/>
      <c r="R188" s="271"/>
      <c r="S188" s="271"/>
      <c r="T188" s="271"/>
      <c r="U188" s="271"/>
      <c r="V188" s="271"/>
      <c r="W188" s="271"/>
      <c r="X188" s="271"/>
      <c r="Y188" s="271"/>
      <c r="Z188" s="271"/>
    </row>
    <row r="189" spans="1:26">
      <c r="A189" s="302"/>
      <c r="B189" s="271"/>
      <c r="C189" s="762"/>
      <c r="D189" s="446" t="s">
        <v>64</v>
      </c>
      <c r="E189" s="446" t="s">
        <v>64</v>
      </c>
      <c r="F189" s="446" t="s">
        <v>64</v>
      </c>
      <c r="G189" s="446" t="s">
        <v>64</v>
      </c>
      <c r="H189" s="453" t="s">
        <v>64</v>
      </c>
      <c r="I189" s="454" t="s">
        <v>64</v>
      </c>
      <c r="J189" s="446" t="s">
        <v>64</v>
      </c>
      <c r="K189" s="446" t="s">
        <v>64</v>
      </c>
      <c r="L189" s="446" t="s">
        <v>64</v>
      </c>
      <c r="M189" s="446" t="s">
        <v>64</v>
      </c>
      <c r="N189" s="446" t="s">
        <v>64</v>
      </c>
      <c r="O189" s="271"/>
      <c r="P189" s="271"/>
      <c r="Q189" s="271"/>
      <c r="R189" s="271"/>
      <c r="S189" s="271"/>
      <c r="T189" s="271"/>
      <c r="U189" s="271"/>
      <c r="V189" s="271"/>
      <c r="W189" s="271"/>
      <c r="X189" s="271"/>
      <c r="Y189" s="271"/>
      <c r="Z189" s="271"/>
    </row>
    <row r="190" spans="1:26">
      <c r="A190" s="302"/>
      <c r="B190" s="271"/>
      <c r="C190" s="763"/>
      <c r="D190" s="455" t="s">
        <v>64</v>
      </c>
      <c r="E190" s="455" t="s">
        <v>64</v>
      </c>
      <c r="F190" s="455" t="s">
        <v>64</v>
      </c>
      <c r="G190" s="455" t="s">
        <v>64</v>
      </c>
      <c r="H190" s="456" t="s">
        <v>64</v>
      </c>
      <c r="I190" s="457" t="s">
        <v>64</v>
      </c>
      <c r="J190" s="455" t="s">
        <v>64</v>
      </c>
      <c r="K190" s="455" t="s">
        <v>64</v>
      </c>
      <c r="L190" s="455" t="s">
        <v>64</v>
      </c>
      <c r="M190" s="455" t="s">
        <v>64</v>
      </c>
      <c r="N190" s="455" t="s">
        <v>64</v>
      </c>
      <c r="O190" s="271"/>
      <c r="P190" s="271"/>
      <c r="Q190" s="271"/>
      <c r="R190" s="271"/>
      <c r="S190" s="271"/>
      <c r="T190" s="271"/>
      <c r="U190" s="271"/>
      <c r="V190" s="271"/>
      <c r="W190" s="271"/>
      <c r="X190" s="271"/>
      <c r="Y190" s="271"/>
      <c r="Z190" s="271"/>
    </row>
    <row r="191" spans="1:26">
      <c r="A191" s="302"/>
      <c r="B191" s="271"/>
      <c r="C191" s="811" t="s">
        <v>165</v>
      </c>
      <c r="D191" s="446">
        <v>5</v>
      </c>
      <c r="E191" s="447">
        <f>AXB!$G$107</f>
        <v>4.7773690461476352</v>
      </c>
      <c r="F191" s="448">
        <f>AXA!$C$14</f>
        <v>0.89</v>
      </c>
      <c r="G191" s="447">
        <f>AXB!$Q$107</f>
        <v>5.1903082472483106</v>
      </c>
      <c r="H191" s="449">
        <f>AXB!$AA$107</f>
        <v>0.92187500000000022</v>
      </c>
      <c r="I191" s="450">
        <v>1</v>
      </c>
      <c r="J191" s="451">
        <f>INDEX($D$191:$D$193,MATCH(K191,$E$191:$E$193,0))</f>
        <v>5</v>
      </c>
      <c r="K191" s="452">
        <f>LARGE($E$191,I191)</f>
        <v>4.7773690461476352</v>
      </c>
      <c r="L191" s="448">
        <f>VLOOKUP(J191,$D$191:$F$191,3)</f>
        <v>0.89</v>
      </c>
      <c r="M191" s="447">
        <f>VLOOKUP(J191,$D$191:$G$191,4)</f>
        <v>5.1903082472483106</v>
      </c>
      <c r="N191" s="447">
        <f>VLOOKUP(J191,$D$191:$H$191,5)</f>
        <v>0.92187500000000022</v>
      </c>
      <c r="O191" s="271"/>
      <c r="P191" s="271"/>
      <c r="Q191" s="271"/>
      <c r="R191" s="271"/>
      <c r="S191" s="271"/>
      <c r="T191" s="271"/>
      <c r="U191" s="271"/>
      <c r="V191" s="271"/>
      <c r="W191" s="271"/>
      <c r="X191" s="271"/>
      <c r="Y191" s="271"/>
      <c r="Z191" s="271"/>
    </row>
    <row r="192" spans="1:26">
      <c r="A192" s="302"/>
      <c r="B192" s="271"/>
      <c r="C192" s="811"/>
      <c r="D192" s="446" t="s">
        <v>64</v>
      </c>
      <c r="E192" s="446" t="s">
        <v>64</v>
      </c>
      <c r="F192" s="446" t="s">
        <v>64</v>
      </c>
      <c r="G192" s="446" t="s">
        <v>64</v>
      </c>
      <c r="H192" s="453" t="s">
        <v>64</v>
      </c>
      <c r="I192" s="454" t="s">
        <v>64</v>
      </c>
      <c r="J192" s="446" t="s">
        <v>64</v>
      </c>
      <c r="K192" s="446" t="s">
        <v>64</v>
      </c>
      <c r="L192" s="446" t="s">
        <v>64</v>
      </c>
      <c r="M192" s="446" t="s">
        <v>64</v>
      </c>
      <c r="N192" s="446" t="s">
        <v>64</v>
      </c>
      <c r="O192" s="271"/>
      <c r="P192" s="271"/>
      <c r="Q192" s="271"/>
      <c r="R192" s="271"/>
      <c r="S192" s="271"/>
      <c r="T192" s="271"/>
      <c r="U192" s="271"/>
      <c r="V192" s="271"/>
      <c r="W192" s="271"/>
      <c r="X192" s="271"/>
      <c r="Y192" s="271"/>
      <c r="Z192" s="271"/>
    </row>
    <row r="193" spans="1:26">
      <c r="A193" s="302"/>
      <c r="B193" s="271"/>
      <c r="C193" s="811"/>
      <c r="D193" s="446" t="s">
        <v>64</v>
      </c>
      <c r="E193" s="446" t="s">
        <v>64</v>
      </c>
      <c r="F193" s="446" t="s">
        <v>64</v>
      </c>
      <c r="G193" s="446" t="s">
        <v>64</v>
      </c>
      <c r="H193" s="453" t="s">
        <v>64</v>
      </c>
      <c r="I193" s="454" t="s">
        <v>64</v>
      </c>
      <c r="J193" s="446" t="s">
        <v>64</v>
      </c>
      <c r="K193" s="446" t="s">
        <v>64</v>
      </c>
      <c r="L193" s="446" t="s">
        <v>64</v>
      </c>
      <c r="M193" s="446" t="s">
        <v>64</v>
      </c>
      <c r="N193" s="446" t="s">
        <v>64</v>
      </c>
      <c r="O193" s="271"/>
      <c r="P193" s="271"/>
      <c r="Q193" s="271"/>
      <c r="R193" s="271"/>
      <c r="S193" s="271"/>
      <c r="T193" s="271"/>
      <c r="U193" s="271"/>
      <c r="V193" s="271"/>
      <c r="W193" s="271"/>
      <c r="X193" s="271"/>
      <c r="Y193" s="271"/>
      <c r="Z193" s="271"/>
    </row>
    <row r="194" spans="1:26">
      <c r="A194" s="305"/>
      <c r="B194" s="293"/>
      <c r="C194" s="293"/>
      <c r="D194" s="293"/>
      <c r="E194" s="293"/>
      <c r="F194" s="293"/>
      <c r="G194" s="293"/>
      <c r="H194" s="293"/>
      <c r="I194" s="293"/>
      <c r="J194" s="293"/>
      <c r="K194" s="293"/>
      <c r="L194" s="293"/>
      <c r="M194" s="293"/>
      <c r="N194" s="293"/>
      <c r="O194" s="293"/>
      <c r="P194" s="293"/>
      <c r="Q194" s="293"/>
      <c r="R194" s="293"/>
      <c r="S194" s="293"/>
      <c r="T194" s="293"/>
      <c r="U194" s="293"/>
      <c r="V194" s="293"/>
      <c r="W194" s="293"/>
      <c r="X194" s="293"/>
      <c r="Y194" s="293"/>
      <c r="Z194" s="293"/>
    </row>
    <row r="195" spans="1:26">
      <c r="A195" s="305"/>
      <c r="B195" s="293"/>
      <c r="C195" s="776" t="s">
        <v>351</v>
      </c>
      <c r="D195" s="776"/>
      <c r="E195" s="776"/>
      <c r="F195" s="776"/>
      <c r="G195" s="776"/>
      <c r="H195" s="776"/>
      <c r="I195" s="776"/>
      <c r="J195" s="776"/>
      <c r="K195" s="776"/>
      <c r="L195" s="776"/>
      <c r="M195" s="776"/>
      <c r="N195" s="776"/>
      <c r="O195" s="776"/>
      <c r="P195" s="776"/>
      <c r="Q195" s="293"/>
      <c r="R195" s="293"/>
      <c r="S195" s="293"/>
      <c r="T195" s="293"/>
      <c r="U195" s="293"/>
      <c r="V195" s="293"/>
      <c r="W195" s="293"/>
      <c r="X195" s="293"/>
      <c r="Y195" s="293"/>
      <c r="Z195" s="293"/>
    </row>
    <row r="196" spans="1:26">
      <c r="A196" s="305"/>
      <c r="B196" s="293"/>
      <c r="C196" s="293"/>
      <c r="D196" s="293"/>
      <c r="E196" s="293"/>
      <c r="F196" s="293"/>
      <c r="G196" s="293"/>
      <c r="H196" s="293"/>
      <c r="I196" s="293"/>
      <c r="J196" s="293"/>
      <c r="K196" s="293"/>
      <c r="L196" s="293"/>
      <c r="M196" s="293"/>
      <c r="N196" s="293"/>
      <c r="O196" s="293"/>
      <c r="P196" s="293"/>
      <c r="Q196" s="293"/>
      <c r="R196" s="293"/>
      <c r="S196" s="293"/>
      <c r="T196" s="293"/>
      <c r="U196" s="293"/>
      <c r="V196" s="293"/>
      <c r="W196" s="293"/>
      <c r="X196" s="293"/>
      <c r="Y196" s="293"/>
      <c r="Z196" s="293"/>
    </row>
    <row r="197" spans="1:26">
      <c r="A197" s="305"/>
      <c r="B197" s="293"/>
      <c r="C197" s="745" t="s">
        <v>352</v>
      </c>
      <c r="D197" s="745"/>
      <c r="E197" s="745"/>
      <c r="F197" s="745"/>
      <c r="G197" s="745"/>
      <c r="H197" s="745"/>
      <c r="I197" s="745"/>
      <c r="J197" s="745"/>
      <c r="K197" s="745"/>
      <c r="L197" s="745"/>
      <c r="M197" s="745"/>
      <c r="N197" s="745"/>
      <c r="O197" s="745"/>
      <c r="P197" s="745"/>
      <c r="Q197" s="293"/>
      <c r="R197" s="293"/>
      <c r="S197" s="293"/>
      <c r="T197" s="293"/>
      <c r="U197" s="293"/>
      <c r="V197" s="293"/>
      <c r="W197" s="293"/>
      <c r="X197" s="293"/>
      <c r="Y197" s="293"/>
      <c r="Z197" s="293"/>
    </row>
    <row r="198" spans="1:26">
      <c r="A198" s="305"/>
      <c r="B198" s="293"/>
      <c r="C198" s="346" t="s">
        <v>93</v>
      </c>
      <c r="D198" s="395" t="s">
        <v>87</v>
      </c>
      <c r="E198" s="398" t="s">
        <v>94</v>
      </c>
      <c r="F198" s="395" t="s">
        <v>62</v>
      </c>
      <c r="G198" s="395" t="s">
        <v>456</v>
      </c>
      <c r="H198" s="398" t="s">
        <v>455</v>
      </c>
      <c r="I198" s="395" t="s">
        <v>447</v>
      </c>
      <c r="J198" s="398" t="s">
        <v>443</v>
      </c>
      <c r="K198" s="395" t="s">
        <v>467</v>
      </c>
      <c r="L198" s="398" t="s">
        <v>468</v>
      </c>
      <c r="M198" s="403" t="s">
        <v>469</v>
      </c>
      <c r="N198" s="396" t="s">
        <v>470</v>
      </c>
      <c r="O198" s="404" t="s">
        <v>471</v>
      </c>
      <c r="P198" s="396" t="s">
        <v>472</v>
      </c>
      <c r="Q198" s="293"/>
      <c r="R198" s="293"/>
      <c r="S198" s="293"/>
      <c r="T198" s="293"/>
      <c r="U198" s="293"/>
      <c r="V198" s="293"/>
      <c r="W198" s="293"/>
      <c r="X198" s="293"/>
      <c r="Y198" s="293"/>
      <c r="Z198" s="293"/>
    </row>
    <row r="199" spans="1:26">
      <c r="A199" s="305"/>
      <c r="B199" s="293"/>
      <c r="C199" s="350" t="s">
        <v>87</v>
      </c>
      <c r="D199" s="397">
        <f>DSB!$C$36*(AXA!$C$9+AXA!$C$15/4)</f>
        <v>3.7537399507257452</v>
      </c>
      <c r="E199" s="399">
        <f>D199*COS(RADIANS(DSB!$AV$203))</f>
        <v>3.59375</v>
      </c>
      <c r="F199" s="344">
        <f>D199*CRG!$N$21</f>
        <v>0</v>
      </c>
      <c r="G199" s="344">
        <f>F199*COS(RADIANS(DSB!$AV$203))</f>
        <v>0</v>
      </c>
      <c r="H199" s="400">
        <f>F199*SIN(RADIANS(DSB!$AV$203))</f>
        <v>0</v>
      </c>
      <c r="I199" s="345">
        <f>CRG!$N$11*CMB!E199</f>
        <v>0.8984375</v>
      </c>
      <c r="J199" s="401">
        <v>0</v>
      </c>
      <c r="K199" s="345">
        <f>DSB!$C$36*CRG!$J$6*((AXA!$C$9*CRG!$J$12)+(AXA!$C$15/4)*(CRG!$J$17+CRG!$J$12+CRG!$G$17))</f>
        <v>2.2366861329114891</v>
      </c>
      <c r="L199" s="401">
        <v>0</v>
      </c>
      <c r="M199" s="344">
        <f>K199+I199+G199*$F$10</f>
        <v>3.1351236329114891</v>
      </c>
      <c r="N199" s="344">
        <f>K199+G199+I199*$F$9</f>
        <v>2.5960611329114891</v>
      </c>
      <c r="O199" s="400">
        <f t="shared" ref="O199:O204" si="5">LARGE(M199:N199,1)</f>
        <v>3.1351236329114891</v>
      </c>
      <c r="P199" s="344">
        <f>IF(O199=M199,H199,H199*$F$10)</f>
        <v>0</v>
      </c>
      <c r="Q199" s="293"/>
      <c r="R199" s="293"/>
      <c r="S199" s="293"/>
      <c r="T199" s="293"/>
      <c r="U199" s="293"/>
      <c r="V199" s="293"/>
      <c r="W199" s="293"/>
      <c r="X199" s="293"/>
      <c r="Y199" s="293"/>
      <c r="Z199" s="293"/>
    </row>
    <row r="200" spans="1:26">
      <c r="A200" s="305"/>
      <c r="B200" s="293"/>
      <c r="C200" s="350" t="s">
        <v>88</v>
      </c>
      <c r="D200" s="397">
        <f>DSB!$C$36*AXA!$C$11</f>
        <v>7.375</v>
      </c>
      <c r="E200" s="399">
        <f>D200</f>
        <v>7.375</v>
      </c>
      <c r="F200" s="344">
        <v>0</v>
      </c>
      <c r="G200" s="344">
        <f>F200*COS(RADIANS(DSB!$AV$203))</f>
        <v>0</v>
      </c>
      <c r="H200" s="400">
        <f>F200*SIN(RADIANS(DSB!$AV$203))</f>
        <v>0</v>
      </c>
      <c r="I200" s="345">
        <v>0</v>
      </c>
      <c r="J200" s="401">
        <v>0</v>
      </c>
      <c r="K200" s="345">
        <f>(CRG!$G$17)*CMB!E200</f>
        <v>0</v>
      </c>
      <c r="L200" s="401">
        <v>0</v>
      </c>
      <c r="M200" s="344">
        <f t="shared" ref="M200:M204" si="6">K200+I200+G200*$F$10</f>
        <v>0</v>
      </c>
      <c r="N200" s="344">
        <f t="shared" ref="N200:N204" si="7">K200+G200+I200*$F$9</f>
        <v>0</v>
      </c>
      <c r="O200" s="400">
        <f t="shared" si="5"/>
        <v>0</v>
      </c>
      <c r="P200" s="344">
        <f t="shared" ref="P200:P204" si="8">IF(O200=M200,H200,H200*$F$10)</f>
        <v>0</v>
      </c>
      <c r="Q200" s="293"/>
      <c r="R200" s="293"/>
      <c r="S200" s="293"/>
      <c r="T200" s="293"/>
      <c r="U200" s="293"/>
      <c r="V200" s="293"/>
      <c r="W200" s="293"/>
      <c r="X200" s="293"/>
      <c r="Y200" s="293"/>
      <c r="Z200" s="293"/>
    </row>
    <row r="201" spans="1:26">
      <c r="A201" s="305"/>
      <c r="B201" s="293"/>
      <c r="C201" s="350" t="s">
        <v>89</v>
      </c>
      <c r="D201" s="397">
        <f>D199</f>
        <v>3.7537399507257452</v>
      </c>
      <c r="E201" s="399">
        <f>D201*COS(RADIANS(DSB!$AV$203))</f>
        <v>3.59375</v>
      </c>
      <c r="F201" s="344">
        <f>D201*CRG!$N$21</f>
        <v>0</v>
      </c>
      <c r="G201" s="344">
        <f>F201*COS(RADIANS(DSB!$AV$203))</f>
        <v>0</v>
      </c>
      <c r="H201" s="400">
        <f>F201*SIN(RADIANS(DSB!$AV$203))</f>
        <v>0</v>
      </c>
      <c r="I201" s="345">
        <f>CRG!$N$11*CMB!E201</f>
        <v>0.8984375</v>
      </c>
      <c r="J201" s="401">
        <v>0</v>
      </c>
      <c r="K201" s="345">
        <f>K199</f>
        <v>2.2366861329114891</v>
      </c>
      <c r="L201" s="401">
        <v>0</v>
      </c>
      <c r="M201" s="344">
        <f t="shared" si="6"/>
        <v>3.1351236329114891</v>
      </c>
      <c r="N201" s="344">
        <f t="shared" si="7"/>
        <v>2.5960611329114891</v>
      </c>
      <c r="O201" s="400">
        <f t="shared" si="5"/>
        <v>3.1351236329114891</v>
      </c>
      <c r="P201" s="344">
        <f t="shared" si="8"/>
        <v>0</v>
      </c>
      <c r="Q201" s="293"/>
      <c r="R201" s="293"/>
      <c r="S201" s="293"/>
      <c r="T201" s="293"/>
      <c r="U201" s="293"/>
      <c r="V201" s="293"/>
      <c r="W201" s="293"/>
      <c r="X201" s="293"/>
      <c r="Y201" s="293"/>
      <c r="Z201" s="293"/>
    </row>
    <row r="202" spans="1:26">
      <c r="A202" s="305"/>
      <c r="B202" s="293"/>
      <c r="C202" s="350" t="s">
        <v>90</v>
      </c>
      <c r="D202" s="397">
        <f>DSB!$C$36*AXA!$C$16</f>
        <v>3.8516636016142431</v>
      </c>
      <c r="E202" s="399">
        <f>D202*COS(RADIANS(DSB!$AV$203))</f>
        <v>3.6875</v>
      </c>
      <c r="F202" s="344">
        <f>D202*CRG!$N$21</f>
        <v>0</v>
      </c>
      <c r="G202" s="344">
        <f>F202*COS(RADIANS(DSB!$AV$203))</f>
        <v>0</v>
      </c>
      <c r="H202" s="400">
        <f>F202*SIN(RADIANS(DSB!$AV$203))</f>
        <v>0</v>
      </c>
      <c r="I202" s="345">
        <f>CRG!$N$11*CMB!E202</f>
        <v>0.921875</v>
      </c>
      <c r="J202" s="401">
        <v>0</v>
      </c>
      <c r="K202" s="345">
        <f>(CRG!$J$12+CRG!$J$17)*CMB!E202</f>
        <v>2.4246832472483106</v>
      </c>
      <c r="L202" s="401">
        <v>0</v>
      </c>
      <c r="M202" s="344">
        <f t="shared" si="6"/>
        <v>3.3465582472483106</v>
      </c>
      <c r="N202" s="344">
        <f t="shared" si="7"/>
        <v>2.7934332472483105</v>
      </c>
      <c r="O202" s="400">
        <f t="shared" si="5"/>
        <v>3.3465582472483106</v>
      </c>
      <c r="P202" s="344">
        <f t="shared" si="8"/>
        <v>0</v>
      </c>
      <c r="Q202" s="293"/>
      <c r="R202" s="293"/>
      <c r="S202" s="293"/>
      <c r="T202" s="293"/>
      <c r="U202" s="293"/>
      <c r="V202" s="293"/>
      <c r="W202" s="293"/>
      <c r="X202" s="293"/>
      <c r="Y202" s="293"/>
      <c r="Z202" s="293"/>
    </row>
    <row r="203" spans="1:26">
      <c r="A203" s="305"/>
      <c r="B203" s="293"/>
      <c r="C203" s="350" t="s">
        <v>91</v>
      </c>
      <c r="D203" s="397">
        <f>D202</f>
        <v>3.8516636016142431</v>
      </c>
      <c r="E203" s="399">
        <f>D203*COS(RADIANS(DSB!$AV$203))</f>
        <v>3.6875</v>
      </c>
      <c r="F203" s="344">
        <f>D203*CRG!$N$21</f>
        <v>0</v>
      </c>
      <c r="G203" s="344">
        <f>F203*COS(RADIANS(DSB!$AV$203))</f>
        <v>0</v>
      </c>
      <c r="H203" s="400">
        <f>F203*SIN(RADIANS(DSB!$AV$203))</f>
        <v>0</v>
      </c>
      <c r="I203" s="345">
        <f>CRG!$N$11*CMB!E203</f>
        <v>0.921875</v>
      </c>
      <c r="J203" s="401">
        <v>0</v>
      </c>
      <c r="K203" s="345">
        <f>(CRG!$J$12+CRG!$J$17)*CMB!E203</f>
        <v>2.4246832472483106</v>
      </c>
      <c r="L203" s="401">
        <v>0</v>
      </c>
      <c r="M203" s="344">
        <f t="shared" si="6"/>
        <v>3.3465582472483106</v>
      </c>
      <c r="N203" s="344">
        <f t="shared" si="7"/>
        <v>2.7934332472483105</v>
      </c>
      <c r="O203" s="400">
        <f t="shared" si="5"/>
        <v>3.3465582472483106</v>
      </c>
      <c r="P203" s="344">
        <f t="shared" si="8"/>
        <v>0</v>
      </c>
      <c r="Q203" s="293"/>
      <c r="R203" s="293"/>
      <c r="S203" s="293"/>
      <c r="T203" s="293"/>
      <c r="U203" s="293"/>
      <c r="V203" s="293"/>
      <c r="W203" s="293"/>
      <c r="X203" s="293"/>
      <c r="Y203" s="293"/>
      <c r="Z203" s="293"/>
    </row>
    <row r="204" spans="1:26">
      <c r="A204" s="305"/>
      <c r="B204" s="293"/>
      <c r="C204" s="350" t="s">
        <v>92</v>
      </c>
      <c r="D204" s="397">
        <f>D203</f>
        <v>3.8516636016142431</v>
      </c>
      <c r="E204" s="399">
        <f>D204*COS(RADIANS(DSB!$AV$203))</f>
        <v>3.6875</v>
      </c>
      <c r="F204" s="344">
        <f>D204*CRG!$N$21</f>
        <v>0</v>
      </c>
      <c r="G204" s="344">
        <f>F204*COS(RADIANS(DSB!$AV$203))</f>
        <v>0</v>
      </c>
      <c r="H204" s="400">
        <f>F204*SIN(RADIANS(DSB!$AV$203))</f>
        <v>0</v>
      </c>
      <c r="I204" s="345">
        <f>CRG!$N$11*CMB!E204</f>
        <v>0.921875</v>
      </c>
      <c r="J204" s="401">
        <v>0</v>
      </c>
      <c r="K204" s="345">
        <f>(CRG!$J$12+CRG!$J$17)*CMB!E204</f>
        <v>2.4246832472483106</v>
      </c>
      <c r="L204" s="401">
        <v>0</v>
      </c>
      <c r="M204" s="344">
        <f t="shared" si="6"/>
        <v>3.3465582472483106</v>
      </c>
      <c r="N204" s="344">
        <f t="shared" si="7"/>
        <v>2.7934332472483105</v>
      </c>
      <c r="O204" s="400">
        <f t="shared" si="5"/>
        <v>3.3465582472483106</v>
      </c>
      <c r="P204" s="344">
        <f t="shared" si="8"/>
        <v>0</v>
      </c>
      <c r="Q204" s="293"/>
      <c r="R204" s="293"/>
      <c r="S204" s="293"/>
      <c r="T204" s="293"/>
      <c r="U204" s="293"/>
      <c r="V204" s="293"/>
      <c r="W204" s="293"/>
      <c r="X204" s="293"/>
      <c r="Y204" s="293"/>
      <c r="Z204" s="293"/>
    </row>
    <row r="205" spans="1:26">
      <c r="A205" s="305"/>
      <c r="B205" s="293"/>
      <c r="C205" s="289"/>
      <c r="D205" s="322"/>
      <c r="E205" s="322"/>
      <c r="F205" s="320"/>
      <c r="G205" s="320"/>
      <c r="H205" s="320"/>
      <c r="I205" s="321"/>
      <c r="J205" s="321"/>
      <c r="K205" s="321"/>
      <c r="L205" s="321"/>
      <c r="M205" s="320"/>
      <c r="N205" s="320"/>
      <c r="O205" s="320"/>
      <c r="P205" s="320"/>
      <c r="Q205" s="293"/>
      <c r="R205" s="293"/>
      <c r="S205" s="293"/>
      <c r="T205" s="293"/>
      <c r="U205" s="293"/>
      <c r="V205" s="293"/>
      <c r="W205" s="293"/>
      <c r="X205" s="293"/>
      <c r="Y205" s="293"/>
      <c r="Z205" s="293"/>
    </row>
    <row r="206" spans="1:26">
      <c r="A206" s="305"/>
      <c r="B206" s="293"/>
      <c r="C206" s="745" t="s">
        <v>334</v>
      </c>
      <c r="D206" s="745"/>
      <c r="E206" s="745"/>
      <c r="F206" s="745"/>
      <c r="G206" s="745"/>
      <c r="H206" s="745"/>
      <c r="I206" s="745"/>
      <c r="J206" s="745"/>
      <c r="K206" s="745"/>
      <c r="L206" s="745"/>
      <c r="M206" s="745"/>
      <c r="N206" s="745"/>
      <c r="O206" s="745"/>
      <c r="P206" s="745"/>
      <c r="Q206" s="293"/>
      <c r="R206" s="293"/>
      <c r="S206" s="293"/>
      <c r="T206" s="293"/>
      <c r="U206" s="293"/>
      <c r="V206" s="293"/>
      <c r="W206" s="293"/>
      <c r="X206" s="293"/>
      <c r="Y206" s="293"/>
      <c r="Z206" s="293"/>
    </row>
    <row r="207" spans="1:26">
      <c r="A207" s="305"/>
      <c r="B207" s="293"/>
      <c r="C207" s="411" t="s">
        <v>93</v>
      </c>
      <c r="D207" s="395" t="s">
        <v>87</v>
      </c>
      <c r="E207" s="398" t="s">
        <v>94</v>
      </c>
      <c r="F207" s="395" t="s">
        <v>62</v>
      </c>
      <c r="G207" s="395" t="s">
        <v>456</v>
      </c>
      <c r="H207" s="398" t="s">
        <v>455</v>
      </c>
      <c r="I207" s="395" t="s">
        <v>447</v>
      </c>
      <c r="J207" s="398" t="s">
        <v>443</v>
      </c>
      <c r="K207" s="395" t="s">
        <v>467</v>
      </c>
      <c r="L207" s="398" t="s">
        <v>468</v>
      </c>
      <c r="M207" s="403" t="s">
        <v>469</v>
      </c>
      <c r="N207" s="396" t="s">
        <v>470</v>
      </c>
      <c r="O207" s="404" t="s">
        <v>471</v>
      </c>
      <c r="P207" s="412" t="s">
        <v>472</v>
      </c>
      <c r="Q207" s="293"/>
      <c r="R207" s="293"/>
      <c r="S207" s="293"/>
      <c r="T207" s="293"/>
      <c r="U207" s="293"/>
      <c r="V207" s="293"/>
      <c r="W207" s="293"/>
      <c r="X207" s="293"/>
      <c r="Y207" s="293"/>
      <c r="Z207" s="293"/>
    </row>
    <row r="208" spans="1:26">
      <c r="A208" s="305"/>
      <c r="B208" s="293"/>
      <c r="C208" s="350" t="s">
        <v>87</v>
      </c>
      <c r="D208" s="397">
        <f>DSB!$C$36*(AXA!$C$9+AXA!$C$15/4)</f>
        <v>3.7537399507257452</v>
      </c>
      <c r="E208" s="399">
        <f>D208*COS(RADIANS(DSB!$AV$203))</f>
        <v>3.59375</v>
      </c>
      <c r="F208" s="344">
        <f>D208*CRG!$N$21</f>
        <v>0</v>
      </c>
      <c r="G208" s="344">
        <f>F208*COS(RADIANS(DSB!$AV$203))</f>
        <v>0</v>
      </c>
      <c r="H208" s="400">
        <f>F208*SIN(RADIANS(DSB!$AV$203))</f>
        <v>0</v>
      </c>
      <c r="I208" s="345">
        <f>CRG!$N$11*CMB!E208</f>
        <v>0.8984375</v>
      </c>
      <c r="J208" s="401">
        <v>0</v>
      </c>
      <c r="K208" s="345">
        <f>DSB!$C$36*CRG!$J$6*((AXA!$C$9*CRG!$J$12)+(AXA!$C$15/4)*(CRG!$J$17+CRG!$J$12+CRG!$G$17))</f>
        <v>2.2366861329114891</v>
      </c>
      <c r="L208" s="401">
        <v>0</v>
      </c>
      <c r="M208" s="344">
        <f>(K208+I208*$G$9+G208*$G$10)*(1+RST!$E$10)</f>
        <v>4.0099478126583827</v>
      </c>
      <c r="N208" s="344">
        <f>(K208+I208*$G$9+G208*$G$10)*(1+RST!$E$10)</f>
        <v>4.0099478126583827</v>
      </c>
      <c r="O208" s="400">
        <f t="shared" ref="O208:O213" si="9">LARGE(M208:N208,1)</f>
        <v>4.0099478126583827</v>
      </c>
      <c r="P208" s="344">
        <f>IF(O208=M208,H208*$G$10,H208*$G$10)</f>
        <v>0</v>
      </c>
      <c r="Q208" s="293"/>
      <c r="R208" s="293"/>
      <c r="S208" s="293"/>
      <c r="T208" s="293"/>
      <c r="U208" s="293"/>
      <c r="V208" s="293"/>
      <c r="W208" s="293"/>
      <c r="X208" s="293"/>
      <c r="Y208" s="293"/>
      <c r="Z208" s="293"/>
    </row>
    <row r="209" spans="1:26">
      <c r="A209" s="305"/>
      <c r="B209" s="293"/>
      <c r="C209" s="350" t="s">
        <v>88</v>
      </c>
      <c r="D209" s="397">
        <f>DSB!$C$36*AXA!$C$11</f>
        <v>7.375</v>
      </c>
      <c r="E209" s="399">
        <f>D209</f>
        <v>7.375</v>
      </c>
      <c r="F209" s="344">
        <v>0</v>
      </c>
      <c r="G209" s="344">
        <f>F209*COS(RADIANS(DSB!$AV$203))</f>
        <v>0</v>
      </c>
      <c r="H209" s="400">
        <f>F209*SIN(RADIANS(DSB!$AV$203))</f>
        <v>0</v>
      </c>
      <c r="I209" s="345">
        <v>0</v>
      </c>
      <c r="J209" s="401">
        <v>0</v>
      </c>
      <c r="K209" s="345">
        <f>(CRG!$G$17)*CMB!E209</f>
        <v>0</v>
      </c>
      <c r="L209" s="401">
        <v>0</v>
      </c>
      <c r="M209" s="344">
        <f>(K209+I209*$G$9+G209*$G$10)*(1+RST!$E$10)</f>
        <v>0</v>
      </c>
      <c r="N209" s="344">
        <f>(K209+I209*$G$9+G209*$G$10)*(1+RST!$E$10)</f>
        <v>0</v>
      </c>
      <c r="O209" s="400">
        <f t="shared" si="9"/>
        <v>0</v>
      </c>
      <c r="P209" s="344">
        <f t="shared" ref="P209:P213" si="10">IF(O209=M209,H209*$G$10,H209*$G$10)</f>
        <v>0</v>
      </c>
      <c r="Q209" s="293"/>
      <c r="R209" s="293"/>
      <c r="S209" s="293"/>
      <c r="T209" s="293"/>
      <c r="U209" s="293"/>
      <c r="V209" s="293"/>
      <c r="W209" s="293"/>
      <c r="X209" s="293"/>
      <c r="Y209" s="293"/>
      <c r="Z209" s="293"/>
    </row>
    <row r="210" spans="1:26">
      <c r="A210" s="305"/>
      <c r="B210" s="293"/>
      <c r="C210" s="350" t="s">
        <v>89</v>
      </c>
      <c r="D210" s="397">
        <f>D208</f>
        <v>3.7537399507257452</v>
      </c>
      <c r="E210" s="399">
        <f>D210*COS(RADIANS(DSB!$AV$203))</f>
        <v>3.59375</v>
      </c>
      <c r="F210" s="344">
        <f>D210*CRG!$N$21</f>
        <v>0</v>
      </c>
      <c r="G210" s="344">
        <f>F210*COS(RADIANS(DSB!$AV$203))</f>
        <v>0</v>
      </c>
      <c r="H210" s="400">
        <f>F210*SIN(RADIANS(DSB!$AV$203))</f>
        <v>0</v>
      </c>
      <c r="I210" s="345">
        <f>CRG!$N$11*CMB!E210</f>
        <v>0.8984375</v>
      </c>
      <c r="J210" s="401">
        <v>0</v>
      </c>
      <c r="K210" s="345">
        <f>K208</f>
        <v>2.2366861329114891</v>
      </c>
      <c r="L210" s="401">
        <v>0</v>
      </c>
      <c r="M210" s="344">
        <f>(K210+I210*$G$9+G210*$G$10)*(1+RST!$E$10)</f>
        <v>4.0099478126583827</v>
      </c>
      <c r="N210" s="344">
        <f>(K210+I210*$G$9+G210*$G$10)*(1+RST!$E$10)</f>
        <v>4.0099478126583827</v>
      </c>
      <c r="O210" s="400">
        <f t="shared" si="9"/>
        <v>4.0099478126583827</v>
      </c>
      <c r="P210" s="344">
        <f t="shared" si="10"/>
        <v>0</v>
      </c>
      <c r="Q210" s="293"/>
      <c r="R210" s="293"/>
      <c r="S210" s="293"/>
      <c r="T210" s="293"/>
      <c r="U210" s="293"/>
      <c r="V210" s="293"/>
      <c r="W210" s="293"/>
      <c r="X210" s="293"/>
      <c r="Y210" s="293"/>
      <c r="Z210" s="293"/>
    </row>
    <row r="211" spans="1:26">
      <c r="A211" s="305"/>
      <c r="B211" s="293"/>
      <c r="C211" s="350" t="s">
        <v>90</v>
      </c>
      <c r="D211" s="397">
        <f>DSB!$C$36*AXA!$C$16</f>
        <v>3.8516636016142431</v>
      </c>
      <c r="E211" s="399">
        <f>D211*COS(RADIANS(DSB!$AV$203))</f>
        <v>3.6875</v>
      </c>
      <c r="F211" s="344">
        <f>D211*CRG!$N$21</f>
        <v>0</v>
      </c>
      <c r="G211" s="344">
        <f>F211*COS(RADIANS(DSB!$AV$203))</f>
        <v>0</v>
      </c>
      <c r="H211" s="400">
        <f>F211*SIN(RADIANS(DSB!$AV$203))</f>
        <v>0</v>
      </c>
      <c r="I211" s="345">
        <f>CRG!$N$11*CMB!E211</f>
        <v>0.921875</v>
      </c>
      <c r="J211" s="401">
        <v>0</v>
      </c>
      <c r="K211" s="345">
        <f>(CRG!$J$12+CRG!$J$17)*CMB!E211</f>
        <v>2.4246832472483106</v>
      </c>
      <c r="L211" s="401">
        <v>0</v>
      </c>
      <c r="M211" s="344">
        <f>(K211+I211*$G$9+G211*$G$10)*(1+RST!$E$10)</f>
        <v>4.3219931955972966</v>
      </c>
      <c r="N211" s="344">
        <f>(K211+I211*$G$9+G211*$G$10)*(1+RST!$E$10)</f>
        <v>4.3219931955972966</v>
      </c>
      <c r="O211" s="400">
        <f t="shared" si="9"/>
        <v>4.3219931955972966</v>
      </c>
      <c r="P211" s="344">
        <f t="shared" si="10"/>
        <v>0</v>
      </c>
      <c r="Q211" s="293"/>
      <c r="R211" s="293"/>
      <c r="S211" s="293"/>
      <c r="T211" s="293"/>
      <c r="U211" s="293"/>
      <c r="V211" s="293"/>
      <c r="W211" s="293"/>
      <c r="X211" s="293"/>
      <c r="Y211" s="293"/>
      <c r="Z211" s="293"/>
    </row>
    <row r="212" spans="1:26">
      <c r="A212" s="305"/>
      <c r="B212" s="293"/>
      <c r="C212" s="350" t="s">
        <v>91</v>
      </c>
      <c r="D212" s="397">
        <f>D211</f>
        <v>3.8516636016142431</v>
      </c>
      <c r="E212" s="399">
        <f>D212*COS(RADIANS(DSB!$AV$203))</f>
        <v>3.6875</v>
      </c>
      <c r="F212" s="344">
        <f>D212*CRG!$N$21</f>
        <v>0</v>
      </c>
      <c r="G212" s="344">
        <f>F212*COS(RADIANS(DSB!$AV$203))</f>
        <v>0</v>
      </c>
      <c r="H212" s="400">
        <f>F212*SIN(RADIANS(DSB!$AV$203))</f>
        <v>0</v>
      </c>
      <c r="I212" s="345">
        <f>CRG!$N$11*CMB!E212</f>
        <v>0.921875</v>
      </c>
      <c r="J212" s="401">
        <v>0</v>
      </c>
      <c r="K212" s="345">
        <f>(CRG!$J$12+CRG!$J$17)*CMB!E212</f>
        <v>2.4246832472483106</v>
      </c>
      <c r="L212" s="401">
        <v>0</v>
      </c>
      <c r="M212" s="344">
        <f>(K212+I212*$G$9+G212*$G$10)*(1+RST!$E$10)</f>
        <v>4.3219931955972966</v>
      </c>
      <c r="N212" s="344">
        <f>(K212+I212*$G$9+G212*$G$10)*(1+RST!$E$10)</f>
        <v>4.3219931955972966</v>
      </c>
      <c r="O212" s="400">
        <f t="shared" si="9"/>
        <v>4.3219931955972966</v>
      </c>
      <c r="P212" s="344">
        <f t="shared" si="10"/>
        <v>0</v>
      </c>
      <c r="Q212" s="293"/>
      <c r="R212" s="293"/>
      <c r="S212" s="293"/>
      <c r="T212" s="293"/>
      <c r="U212" s="293"/>
      <c r="V212" s="293"/>
      <c r="W212" s="293"/>
      <c r="X212" s="293"/>
      <c r="Y212" s="293"/>
      <c r="Z212" s="293"/>
    </row>
    <row r="213" spans="1:26">
      <c r="A213" s="305"/>
      <c r="B213" s="293"/>
      <c r="C213" s="350" t="s">
        <v>92</v>
      </c>
      <c r="D213" s="397">
        <f>D212</f>
        <v>3.8516636016142431</v>
      </c>
      <c r="E213" s="399">
        <f>D213*COS(RADIANS(DSB!$AV$203))</f>
        <v>3.6875</v>
      </c>
      <c r="F213" s="344">
        <f>D213*CRG!$N$21</f>
        <v>0</v>
      </c>
      <c r="G213" s="344">
        <f>F213*COS(RADIANS(DSB!$AV$203))</f>
        <v>0</v>
      </c>
      <c r="H213" s="400">
        <f>F213*SIN(RADIANS(DSB!$AV$203))</f>
        <v>0</v>
      </c>
      <c r="I213" s="345">
        <f>CRG!$N$11*CMB!E213</f>
        <v>0.921875</v>
      </c>
      <c r="J213" s="401">
        <v>0</v>
      </c>
      <c r="K213" s="345">
        <f>(CRG!$J$12+CRG!$J$17)*CMB!E213</f>
        <v>2.4246832472483106</v>
      </c>
      <c r="L213" s="401">
        <v>0</v>
      </c>
      <c r="M213" s="344">
        <f>(K213+I213*$G$9+G213*$G$10)*(1+RST!$E$10)</f>
        <v>4.3219931955972966</v>
      </c>
      <c r="N213" s="344">
        <f>(K213+I213*$G$9+G213*$G$10)*(1+RST!$E$10)</f>
        <v>4.3219931955972966</v>
      </c>
      <c r="O213" s="400">
        <f t="shared" si="9"/>
        <v>4.3219931955972966</v>
      </c>
      <c r="P213" s="344">
        <f t="shared" si="10"/>
        <v>0</v>
      </c>
      <c r="Q213" s="293"/>
      <c r="R213" s="293"/>
      <c r="S213" s="293"/>
      <c r="T213" s="293"/>
      <c r="U213" s="293"/>
      <c r="V213" s="293"/>
      <c r="W213" s="293"/>
      <c r="X213" s="293"/>
      <c r="Y213" s="293"/>
      <c r="Z213" s="293"/>
    </row>
    <row r="214" spans="1:26">
      <c r="A214" s="305"/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3"/>
      <c r="O214" s="293"/>
      <c r="P214" s="293"/>
      <c r="Q214" s="293"/>
      <c r="R214" s="293"/>
      <c r="S214" s="293"/>
      <c r="T214" s="293"/>
      <c r="U214" s="293"/>
      <c r="V214" s="293"/>
      <c r="W214" s="293"/>
      <c r="X214" s="293"/>
      <c r="Y214" s="293"/>
      <c r="Z214" s="293"/>
    </row>
    <row r="215" spans="1:26">
      <c r="A215" s="305"/>
      <c r="B215" s="293"/>
      <c r="C215" s="745" t="s">
        <v>353</v>
      </c>
      <c r="D215" s="745"/>
      <c r="E215" s="745"/>
      <c r="F215" s="745"/>
      <c r="G215" s="745"/>
      <c r="H215" s="745"/>
      <c r="I215" s="745"/>
      <c r="J215" s="745"/>
      <c r="K215" s="745"/>
      <c r="L215" s="745"/>
      <c r="M215" s="745"/>
      <c r="N215" s="745"/>
      <c r="O215" s="745"/>
      <c r="P215" s="745"/>
      <c r="Q215" s="293"/>
      <c r="R215" s="293"/>
      <c r="S215" s="293"/>
      <c r="T215" s="293"/>
      <c r="U215" s="293"/>
      <c r="V215" s="293"/>
      <c r="W215" s="293"/>
      <c r="X215" s="293"/>
      <c r="Y215" s="293"/>
      <c r="Z215" s="293"/>
    </row>
    <row r="216" spans="1:26">
      <c r="A216" s="305"/>
      <c r="B216" s="293"/>
      <c r="C216" s="346" t="s">
        <v>93</v>
      </c>
      <c r="D216" s="395" t="s">
        <v>87</v>
      </c>
      <c r="E216" s="398" t="s">
        <v>94</v>
      </c>
      <c r="F216" s="395" t="s">
        <v>62</v>
      </c>
      <c r="G216" s="395" t="s">
        <v>456</v>
      </c>
      <c r="H216" s="398" t="s">
        <v>455</v>
      </c>
      <c r="I216" s="395" t="s">
        <v>447</v>
      </c>
      <c r="J216" s="398" t="s">
        <v>443</v>
      </c>
      <c r="K216" s="403" t="s">
        <v>467</v>
      </c>
      <c r="L216" s="398" t="s">
        <v>468</v>
      </c>
      <c r="M216" s="403" t="s">
        <v>469</v>
      </c>
      <c r="N216" s="396" t="s">
        <v>470</v>
      </c>
      <c r="O216" s="404" t="s">
        <v>471</v>
      </c>
      <c r="P216" s="396" t="s">
        <v>472</v>
      </c>
      <c r="Q216" s="293"/>
      <c r="R216" s="293"/>
      <c r="S216" s="293"/>
      <c r="T216" s="293"/>
      <c r="U216" s="293"/>
      <c r="V216" s="293"/>
      <c r="W216" s="293"/>
      <c r="X216" s="293"/>
      <c r="Y216" s="293"/>
      <c r="Z216" s="293"/>
    </row>
    <row r="217" spans="1:26">
      <c r="A217" s="305"/>
      <c r="B217" s="293"/>
      <c r="C217" s="350" t="s">
        <v>87</v>
      </c>
      <c r="D217" s="397">
        <f>DSB!$C$36*(AXA!$C$9+AXA!$C$15/4)</f>
        <v>3.7537399507257452</v>
      </c>
      <c r="E217" s="399">
        <f>D217*COS(RADIANS(DSB!$AV$203))</f>
        <v>3.59375</v>
      </c>
      <c r="F217" s="344">
        <v>0</v>
      </c>
      <c r="G217" s="344">
        <f>F217*COS(RADIANS(DSB!$AV$203))</f>
        <v>0</v>
      </c>
      <c r="H217" s="400">
        <f>F217*SIN(RADIANS(DSB!$AV$203))</f>
        <v>0</v>
      </c>
      <c r="I217" s="345">
        <v>0</v>
      </c>
      <c r="J217" s="401">
        <v>0</v>
      </c>
      <c r="K217" s="345">
        <v>0</v>
      </c>
      <c r="L217" s="401">
        <v>0</v>
      </c>
      <c r="M217" s="344">
        <f>K217+I217+G217*$F$10</f>
        <v>0</v>
      </c>
      <c r="N217" s="344">
        <f>K217+G217+I217*$F$9</f>
        <v>0</v>
      </c>
      <c r="O217" s="400">
        <f t="shared" ref="O217:O222" si="11">LARGE(M217:N217,1)</f>
        <v>0</v>
      </c>
      <c r="P217" s="344">
        <f>IF(O217=M217,H217,H217*$F$10)</f>
        <v>0</v>
      </c>
      <c r="Q217" s="293"/>
      <c r="R217" s="293"/>
      <c r="S217" s="293"/>
      <c r="T217" s="293"/>
      <c r="U217" s="293"/>
      <c r="V217" s="293"/>
      <c r="W217" s="293"/>
      <c r="X217" s="293"/>
      <c r="Y217" s="293"/>
      <c r="Z217" s="293"/>
    </row>
    <row r="218" spans="1:26">
      <c r="A218" s="305"/>
      <c r="B218" s="293"/>
      <c r="C218" s="350" t="s">
        <v>88</v>
      </c>
      <c r="D218" s="397">
        <f>DSB!$C$36*AXA!$C$11</f>
        <v>7.375</v>
      </c>
      <c r="E218" s="399">
        <f>D218</f>
        <v>7.375</v>
      </c>
      <c r="F218" s="344">
        <v>0</v>
      </c>
      <c r="G218" s="344">
        <v>1</v>
      </c>
      <c r="H218" s="400">
        <f>F218*SIN(RADIANS(DSB!$AV$203))</f>
        <v>0</v>
      </c>
      <c r="I218" s="345">
        <v>0</v>
      </c>
      <c r="J218" s="401">
        <v>0</v>
      </c>
      <c r="K218" s="345">
        <v>0</v>
      </c>
      <c r="L218" s="401">
        <v>0</v>
      </c>
      <c r="M218" s="344">
        <f t="shared" ref="M218:M222" si="12">K218+I218+G218*$F$10</f>
        <v>0.3</v>
      </c>
      <c r="N218" s="344">
        <f t="shared" ref="N218:N222" si="13">K218+G218+I218*$F$9</f>
        <v>1</v>
      </c>
      <c r="O218" s="400">
        <f t="shared" si="11"/>
        <v>1</v>
      </c>
      <c r="P218" s="344">
        <f t="shared" ref="P218:P222" si="14">IF(O218=M218,H218,H218*$F$10)</f>
        <v>0</v>
      </c>
      <c r="Q218" s="293"/>
      <c r="R218" s="293"/>
      <c r="S218" s="293"/>
      <c r="T218" s="293"/>
      <c r="U218" s="293"/>
      <c r="V218" s="293"/>
      <c r="W218" s="293"/>
      <c r="X218" s="293"/>
      <c r="Y218" s="293"/>
      <c r="Z218" s="293"/>
    </row>
    <row r="219" spans="1:26">
      <c r="A219" s="305"/>
      <c r="B219" s="293"/>
      <c r="C219" s="350" t="s">
        <v>89</v>
      </c>
      <c r="D219" s="397">
        <f>D217</f>
        <v>3.7537399507257452</v>
      </c>
      <c r="E219" s="399">
        <f>D219*COS(RADIANS(DSB!$AV$203))</f>
        <v>3.59375</v>
      </c>
      <c r="F219" s="344">
        <v>0</v>
      </c>
      <c r="G219" s="344">
        <f>F219*COS(RADIANS(DSB!$AV$203))</f>
        <v>0</v>
      </c>
      <c r="H219" s="400">
        <f>F219*SIN(RADIANS(DSB!$AV$203))</f>
        <v>0</v>
      </c>
      <c r="I219" s="345">
        <v>0</v>
      </c>
      <c r="J219" s="401">
        <v>0</v>
      </c>
      <c r="K219" s="345">
        <v>0</v>
      </c>
      <c r="L219" s="401">
        <v>0</v>
      </c>
      <c r="M219" s="344">
        <f t="shared" si="12"/>
        <v>0</v>
      </c>
      <c r="N219" s="344">
        <f t="shared" si="13"/>
        <v>0</v>
      </c>
      <c r="O219" s="400">
        <f t="shared" si="11"/>
        <v>0</v>
      </c>
      <c r="P219" s="344">
        <f t="shared" si="14"/>
        <v>0</v>
      </c>
      <c r="Q219" s="293"/>
      <c r="R219" s="293"/>
      <c r="S219" s="293"/>
      <c r="T219" s="293"/>
      <c r="U219" s="293"/>
      <c r="V219" s="293"/>
      <c r="W219" s="293"/>
      <c r="X219" s="293"/>
      <c r="Y219" s="293"/>
      <c r="Z219" s="293"/>
    </row>
    <row r="220" spans="1:26">
      <c r="A220" s="305"/>
      <c r="B220" s="293"/>
      <c r="C220" s="350" t="s">
        <v>90</v>
      </c>
      <c r="D220" s="397">
        <f>DSB!$C$36*AXA!$C$16</f>
        <v>3.8516636016142431</v>
      </c>
      <c r="E220" s="399">
        <f>D220*COS(RADIANS(DSB!$AV$203))</f>
        <v>3.6875</v>
      </c>
      <c r="F220" s="344">
        <v>0</v>
      </c>
      <c r="G220" s="344">
        <f>F220*COS(RADIANS(DSB!$AV$203))</f>
        <v>0</v>
      </c>
      <c r="H220" s="400">
        <f>F220*SIN(RADIANS(DSB!$AV$203))</f>
        <v>0</v>
      </c>
      <c r="I220" s="345">
        <v>0</v>
      </c>
      <c r="J220" s="401">
        <v>0</v>
      </c>
      <c r="K220" s="345">
        <v>0</v>
      </c>
      <c r="L220" s="401">
        <v>0</v>
      </c>
      <c r="M220" s="344">
        <f t="shared" si="12"/>
        <v>0</v>
      </c>
      <c r="N220" s="344">
        <f t="shared" si="13"/>
        <v>0</v>
      </c>
      <c r="O220" s="400">
        <f t="shared" si="11"/>
        <v>0</v>
      </c>
      <c r="P220" s="344">
        <f t="shared" si="14"/>
        <v>0</v>
      </c>
      <c r="Q220" s="293"/>
      <c r="R220" s="293"/>
      <c r="S220" s="293"/>
      <c r="T220" s="293"/>
      <c r="U220" s="293"/>
      <c r="V220" s="293"/>
      <c r="W220" s="293"/>
      <c r="X220" s="293"/>
      <c r="Y220" s="293"/>
      <c r="Z220" s="293"/>
    </row>
    <row r="221" spans="1:26">
      <c r="A221" s="305"/>
      <c r="B221" s="293"/>
      <c r="C221" s="350" t="s">
        <v>91</v>
      </c>
      <c r="D221" s="397">
        <f>D220</f>
        <v>3.8516636016142431</v>
      </c>
      <c r="E221" s="399">
        <f>D221*COS(RADIANS(DSB!$AV$203))</f>
        <v>3.6875</v>
      </c>
      <c r="F221" s="344">
        <v>0</v>
      </c>
      <c r="G221" s="344">
        <f>F221*COS(RADIANS(DSB!$AV$203))</f>
        <v>0</v>
      </c>
      <c r="H221" s="400">
        <f>F221*SIN(RADIANS(DSB!$AV$203))</f>
        <v>0</v>
      </c>
      <c r="I221" s="345">
        <v>0</v>
      </c>
      <c r="J221" s="401">
        <v>0</v>
      </c>
      <c r="K221" s="345">
        <v>0</v>
      </c>
      <c r="L221" s="401">
        <v>0</v>
      </c>
      <c r="M221" s="344">
        <f t="shared" si="12"/>
        <v>0</v>
      </c>
      <c r="N221" s="344">
        <f t="shared" si="13"/>
        <v>0</v>
      </c>
      <c r="O221" s="400">
        <f t="shared" si="11"/>
        <v>0</v>
      </c>
      <c r="P221" s="344">
        <f t="shared" si="14"/>
        <v>0</v>
      </c>
      <c r="Q221" s="293"/>
      <c r="R221" s="293"/>
      <c r="S221" s="293"/>
      <c r="T221" s="293"/>
      <c r="U221" s="293"/>
      <c r="V221" s="293"/>
      <c r="W221" s="293"/>
      <c r="X221" s="293"/>
      <c r="Y221" s="293"/>
      <c r="Z221" s="293"/>
    </row>
    <row r="222" spans="1:26">
      <c r="A222" s="305"/>
      <c r="B222" s="293"/>
      <c r="C222" s="350" t="s">
        <v>92</v>
      </c>
      <c r="D222" s="397">
        <f>D221</f>
        <v>3.8516636016142431</v>
      </c>
      <c r="E222" s="399">
        <f>D222*COS(RADIANS(DSB!$AV$203))</f>
        <v>3.6875</v>
      </c>
      <c r="F222" s="344">
        <v>0</v>
      </c>
      <c r="G222" s="344">
        <f>F222*COS(RADIANS(DSB!$AV$203))</f>
        <v>0</v>
      </c>
      <c r="H222" s="400">
        <f>F222*SIN(RADIANS(DSB!$AV$203))</f>
        <v>0</v>
      </c>
      <c r="I222" s="345">
        <v>0</v>
      </c>
      <c r="J222" s="401">
        <v>0</v>
      </c>
      <c r="K222" s="345">
        <v>0</v>
      </c>
      <c r="L222" s="401">
        <v>0</v>
      </c>
      <c r="M222" s="344">
        <f t="shared" si="12"/>
        <v>0</v>
      </c>
      <c r="N222" s="344">
        <f t="shared" si="13"/>
        <v>0</v>
      </c>
      <c r="O222" s="400">
        <f t="shared" si="11"/>
        <v>0</v>
      </c>
      <c r="P222" s="344">
        <f t="shared" si="14"/>
        <v>0</v>
      </c>
      <c r="Q222" s="293"/>
      <c r="R222" s="293"/>
      <c r="S222" s="293"/>
      <c r="T222" s="293"/>
      <c r="U222" s="293"/>
      <c r="V222" s="293"/>
      <c r="W222" s="293"/>
      <c r="X222" s="293"/>
      <c r="Y222" s="293"/>
      <c r="Z222" s="293"/>
    </row>
    <row r="223" spans="1:26">
      <c r="A223" s="302"/>
      <c r="B223" s="271"/>
      <c r="C223" s="271"/>
      <c r="D223" s="271"/>
      <c r="E223" s="271"/>
      <c r="F223" s="271"/>
      <c r="G223" s="271"/>
      <c r="H223" s="271"/>
      <c r="I223" s="271"/>
      <c r="J223" s="271"/>
      <c r="K223" s="271"/>
      <c r="L223" s="271"/>
      <c r="M223" s="271"/>
      <c r="N223" s="271"/>
      <c r="O223" s="271"/>
      <c r="P223" s="271"/>
      <c r="Q223" s="271"/>
      <c r="R223" s="271"/>
      <c r="S223" s="271"/>
      <c r="T223" s="271"/>
      <c r="U223" s="271"/>
      <c r="V223" s="271"/>
      <c r="W223" s="271"/>
      <c r="X223" s="271"/>
      <c r="Y223" s="271"/>
      <c r="Z223" s="271"/>
    </row>
    <row r="224" spans="1:26">
      <c r="A224" s="302"/>
      <c r="B224" s="271"/>
      <c r="C224" s="413" t="s">
        <v>361</v>
      </c>
      <c r="D224" s="413"/>
      <c r="E224" s="413"/>
      <c r="F224" s="413"/>
      <c r="G224" s="413"/>
      <c r="H224" s="413"/>
      <c r="I224" s="748" t="s">
        <v>358</v>
      </c>
      <c r="J224" s="748"/>
      <c r="K224" s="748"/>
      <c r="L224" s="748" t="s">
        <v>360</v>
      </c>
      <c r="M224" s="748"/>
      <c r="N224" s="293"/>
      <c r="O224" s="271"/>
      <c r="P224" s="271"/>
      <c r="Q224" s="271"/>
      <c r="R224" s="271"/>
      <c r="S224" s="271"/>
      <c r="T224" s="271"/>
      <c r="U224" s="271"/>
      <c r="V224" s="271"/>
      <c r="W224" s="271"/>
      <c r="X224" s="271"/>
      <c r="Y224" s="271"/>
      <c r="Z224" s="271"/>
    </row>
    <row r="225" spans="1:26">
      <c r="A225" s="302"/>
      <c r="B225" s="271"/>
      <c r="C225" s="407"/>
      <c r="D225" s="405" t="s">
        <v>132</v>
      </c>
      <c r="E225" s="405" t="s">
        <v>362</v>
      </c>
      <c r="F225" s="405" t="s">
        <v>363</v>
      </c>
      <c r="G225" s="405" t="s">
        <v>145</v>
      </c>
      <c r="H225" s="405" t="s">
        <v>364</v>
      </c>
      <c r="I225" s="414" t="s">
        <v>365</v>
      </c>
      <c r="J225" s="410" t="s">
        <v>475</v>
      </c>
      <c r="K225" s="409" t="s">
        <v>478</v>
      </c>
      <c r="L225" s="405" t="s">
        <v>366</v>
      </c>
      <c r="M225" s="409" t="s">
        <v>479</v>
      </c>
      <c r="N225" s="271"/>
      <c r="O225" s="271"/>
      <c r="P225" s="271"/>
      <c r="Q225" s="271"/>
      <c r="R225" s="271"/>
      <c r="S225" s="271"/>
      <c r="T225" s="271"/>
      <c r="U225" s="271"/>
      <c r="V225" s="271"/>
      <c r="W225" s="271"/>
      <c r="X225" s="271"/>
      <c r="Y225" s="271"/>
      <c r="Z225" s="271"/>
    </row>
    <row r="226" spans="1:26" ht="15" customHeight="1">
      <c r="A226" s="302"/>
      <c r="B226" s="271"/>
      <c r="C226" s="746" t="s">
        <v>162</v>
      </c>
      <c r="D226" s="435">
        <v>3</v>
      </c>
      <c r="E226" s="436">
        <f>AXB!$G$125</f>
        <v>17.379527988685314</v>
      </c>
      <c r="F226" s="436">
        <f>AXB!$G$145</f>
        <v>22.445209723020046</v>
      </c>
      <c r="G226" s="437">
        <f>AXA!$C$16</f>
        <v>1.5406654406456972</v>
      </c>
      <c r="H226" s="436">
        <f>AXB!$Q$125</f>
        <v>1.7310847647704459</v>
      </c>
      <c r="I226" s="458">
        <f>(E226*H226*G226)*2</f>
        <v>92.703183394028983</v>
      </c>
      <c r="J226" s="415">
        <f>(DSB!C32*DSB!C34)*RST!N12</f>
        <v>136000</v>
      </c>
      <c r="K226" s="468">
        <f>SUM(I226:I230)/J226</f>
        <v>2.3542595247159478E-3</v>
      </c>
      <c r="L226" s="469">
        <f>(F226*G226*H226)*2</f>
        <v>119.72375743605963</v>
      </c>
      <c r="M226" s="468">
        <f>SUM(L226:L230)/J226</f>
        <v>3.0404651270776084E-3</v>
      </c>
      <c r="N226" s="271"/>
      <c r="O226" s="271"/>
      <c r="P226" s="271"/>
      <c r="Q226" s="271"/>
      <c r="R226" s="271"/>
      <c r="S226" s="271"/>
      <c r="T226" s="271"/>
      <c r="U226" s="271"/>
      <c r="V226" s="271"/>
      <c r="W226" s="271"/>
      <c r="X226" s="271"/>
      <c r="Y226" s="271"/>
      <c r="Z226" s="271"/>
    </row>
    <row r="227" spans="1:26">
      <c r="A227" s="302"/>
      <c r="B227" s="271"/>
      <c r="C227" s="747"/>
      <c r="D227" s="443">
        <v>8</v>
      </c>
      <c r="E227" s="459">
        <f>AXB!$G$128</f>
        <v>11.586351992456876</v>
      </c>
      <c r="F227" s="459">
        <f>AXB!$G$148</f>
        <v>14.963473148680031</v>
      </c>
      <c r="G227" s="460">
        <f>AXA!$C$16</f>
        <v>1.5406654406456972</v>
      </c>
      <c r="H227" s="459">
        <f>AXB!$Q$128</f>
        <v>1.7310847647704459</v>
      </c>
      <c r="I227" s="461">
        <f>(E227*H227*G227)*2</f>
        <v>61.802122262685977</v>
      </c>
      <c r="J227" s="462"/>
      <c r="K227" s="470">
        <f>K226*100</f>
        <v>0.23542595247159478</v>
      </c>
      <c r="L227" s="471">
        <f t="shared" ref="L227:L229" si="15">(F227*G227*H227)*2</f>
        <v>79.815838290706409</v>
      </c>
      <c r="M227" s="472">
        <f>M226*100</f>
        <v>0.30404651270776084</v>
      </c>
      <c r="N227" s="271"/>
      <c r="O227" s="271"/>
      <c r="P227" s="271"/>
      <c r="Q227" s="271"/>
      <c r="R227" s="271"/>
      <c r="S227" s="271"/>
      <c r="T227" s="271"/>
      <c r="U227" s="271"/>
      <c r="V227" s="271"/>
      <c r="W227" s="271"/>
      <c r="X227" s="271"/>
      <c r="Y227" s="271"/>
      <c r="Z227" s="271"/>
    </row>
    <row r="228" spans="1:26">
      <c r="A228" s="302"/>
      <c r="B228" s="271"/>
      <c r="C228" s="359" t="s">
        <v>163</v>
      </c>
      <c r="D228" s="435">
        <v>4</v>
      </c>
      <c r="E228" s="436">
        <f>AXB!$G$127</f>
        <v>5.7931759962284382</v>
      </c>
      <c r="F228" s="436">
        <f>AXB!$G$147</f>
        <v>7.4817365743400144</v>
      </c>
      <c r="G228" s="437">
        <f>AXA!$C$16</f>
        <v>1.5406654406456972</v>
      </c>
      <c r="H228" s="436">
        <f>AXB!$Q$127</f>
        <v>0</v>
      </c>
      <c r="I228" s="463">
        <f>(E228*H228*G228)*2</f>
        <v>0</v>
      </c>
      <c r="J228" s="462"/>
      <c r="K228" s="323"/>
      <c r="L228" s="469">
        <f t="shared" si="15"/>
        <v>0</v>
      </c>
      <c r="M228" s="323"/>
      <c r="N228" s="271"/>
      <c r="O228" s="271"/>
      <c r="P228" s="271"/>
      <c r="Q228" s="271"/>
      <c r="R228" s="271"/>
      <c r="S228" s="271"/>
      <c r="T228" s="271"/>
      <c r="U228" s="271"/>
      <c r="V228" s="271"/>
      <c r="W228" s="271"/>
      <c r="X228" s="271"/>
      <c r="Y228" s="271"/>
      <c r="Z228" s="271"/>
    </row>
    <row r="229" spans="1:26" ht="15" customHeight="1">
      <c r="A229" s="302"/>
      <c r="B229" s="271"/>
      <c r="C229" s="373" t="s">
        <v>164</v>
      </c>
      <c r="D229" s="455">
        <v>1</v>
      </c>
      <c r="E229" s="464">
        <f>AXB!$G$126</f>
        <v>16.638786791094127</v>
      </c>
      <c r="F229" s="464">
        <f>AXB!$G$146</f>
        <v>21.488561674739366</v>
      </c>
      <c r="G229" s="465">
        <f>AXA!$C$11</f>
        <v>2.95</v>
      </c>
      <c r="H229" s="464">
        <f>AXB!$Q$126</f>
        <v>1.6573033707865166</v>
      </c>
      <c r="I229" s="466">
        <f>(E229*H229*G229)*2</f>
        <v>162.69555286460294</v>
      </c>
      <c r="J229" s="416"/>
      <c r="K229" s="369"/>
      <c r="L229" s="471">
        <f t="shared" si="15"/>
        <v>210.11708761170709</v>
      </c>
      <c r="M229" s="328"/>
      <c r="N229" s="271"/>
      <c r="O229" s="271"/>
      <c r="P229" s="271"/>
      <c r="Q229" s="271"/>
      <c r="R229" s="271"/>
      <c r="S229" s="271"/>
      <c r="T229" s="271"/>
      <c r="U229" s="271"/>
      <c r="V229" s="271"/>
      <c r="W229" s="271"/>
      <c r="X229" s="271"/>
      <c r="Y229" s="271"/>
      <c r="Z229" s="271"/>
    </row>
    <row r="230" spans="1:26">
      <c r="A230" s="302"/>
      <c r="B230" s="271"/>
      <c r="C230" s="359" t="s">
        <v>165</v>
      </c>
      <c r="D230" s="446">
        <v>5</v>
      </c>
      <c r="E230" s="447">
        <f>AXB!$G$129</f>
        <v>3.3465582472483106</v>
      </c>
      <c r="F230" s="447">
        <f>AXB!$G$149</f>
        <v>4.3219931955972983</v>
      </c>
      <c r="G230" s="448">
        <f>AXA!$C$14</f>
        <v>0.89</v>
      </c>
      <c r="H230" s="447">
        <f>AXB!$Q$129</f>
        <v>0.99999999999999989</v>
      </c>
      <c r="I230" s="467">
        <f>E230*H230*G230</f>
        <v>2.9784368400509962</v>
      </c>
      <c r="J230" s="416"/>
      <c r="K230" s="323"/>
      <c r="L230" s="469">
        <f>F230*G230*H230</f>
        <v>3.8465739440815949</v>
      </c>
      <c r="M230" s="323"/>
      <c r="N230" s="271"/>
      <c r="O230" s="271"/>
      <c r="P230" s="271"/>
      <c r="Q230" s="271"/>
      <c r="R230" s="271"/>
      <c r="S230" s="271"/>
      <c r="T230" s="271"/>
      <c r="U230" s="271"/>
      <c r="V230" s="271"/>
      <c r="W230" s="271"/>
      <c r="X230" s="271"/>
      <c r="Y230" s="271"/>
      <c r="Z230" s="271"/>
    </row>
    <row r="231" spans="1:26">
      <c r="A231" s="302"/>
      <c r="B231" s="271"/>
      <c r="C231" s="271"/>
      <c r="D231" s="271"/>
      <c r="E231" s="271"/>
      <c r="F231" s="271"/>
      <c r="G231" s="271"/>
      <c r="H231" s="271"/>
      <c r="I231" s="271"/>
      <c r="J231" s="271"/>
      <c r="K231" s="271"/>
      <c r="L231" s="271"/>
      <c r="M231" s="271"/>
      <c r="N231" s="271"/>
      <c r="O231" s="271"/>
      <c r="P231" s="271"/>
      <c r="Q231" s="271"/>
      <c r="R231" s="271"/>
      <c r="S231" s="271"/>
      <c r="T231" s="271"/>
      <c r="U231" s="271"/>
      <c r="V231" s="271"/>
      <c r="W231" s="271"/>
      <c r="X231" s="271"/>
      <c r="Y231" s="271"/>
      <c r="Z231" s="271"/>
    </row>
    <row r="232" spans="1:26">
      <c r="A232" s="302"/>
      <c r="B232" s="271"/>
      <c r="C232" s="271"/>
      <c r="D232" s="271"/>
      <c r="E232" s="271"/>
      <c r="F232" s="271"/>
      <c r="G232" s="271"/>
      <c r="H232" s="271"/>
      <c r="I232" s="271"/>
      <c r="J232" s="271"/>
      <c r="K232" s="271"/>
      <c r="L232" s="271"/>
      <c r="M232" s="271"/>
      <c r="N232" s="271"/>
      <c r="O232" s="271"/>
      <c r="P232" s="271"/>
      <c r="Q232" s="271"/>
      <c r="R232" s="271"/>
      <c r="S232" s="271"/>
      <c r="T232" s="271"/>
      <c r="U232" s="271"/>
      <c r="V232" s="271"/>
      <c r="W232" s="271"/>
      <c r="X232" s="271"/>
      <c r="Y232" s="271"/>
      <c r="Z232" s="271"/>
    </row>
    <row r="233" spans="1:26">
      <c r="A233" s="302"/>
      <c r="B233" s="271"/>
      <c r="C233" s="271"/>
      <c r="D233" s="271"/>
      <c r="E233" s="271"/>
      <c r="F233" s="271"/>
      <c r="G233" s="271"/>
      <c r="H233" s="271"/>
      <c r="I233" s="271"/>
      <c r="J233" s="271"/>
      <c r="K233" s="271"/>
      <c r="L233" s="271"/>
      <c r="M233" s="271"/>
      <c r="N233" s="271"/>
      <c r="O233" s="271"/>
      <c r="P233" s="271"/>
      <c r="Q233" s="271"/>
      <c r="R233" s="271"/>
      <c r="S233" s="271"/>
      <c r="T233" s="271"/>
      <c r="U233" s="271"/>
      <c r="V233" s="271"/>
      <c r="W233" s="271"/>
      <c r="X233" s="271"/>
      <c r="Y233" s="271"/>
      <c r="Z233" s="271"/>
    </row>
    <row r="234" spans="1:26">
      <c r="A234" s="302"/>
      <c r="B234" s="271"/>
      <c r="C234" s="271"/>
      <c r="D234" s="271"/>
      <c r="E234" s="271"/>
      <c r="F234" s="271"/>
      <c r="G234" s="271"/>
      <c r="H234" s="271"/>
      <c r="I234" s="271"/>
      <c r="J234" s="271"/>
      <c r="K234" s="271"/>
      <c r="L234" s="271"/>
      <c r="M234" s="271"/>
      <c r="N234" s="271"/>
      <c r="O234" s="271"/>
      <c r="P234" s="271"/>
      <c r="Q234" s="271"/>
      <c r="R234" s="271"/>
      <c r="S234" s="271"/>
      <c r="T234" s="271"/>
      <c r="U234" s="271"/>
      <c r="V234" s="271"/>
      <c r="W234" s="271"/>
      <c r="X234" s="271"/>
      <c r="Y234" s="271"/>
      <c r="Z234" s="271"/>
    </row>
    <row r="235" spans="1:26">
      <c r="A235" s="302"/>
      <c r="B235" s="271"/>
      <c r="C235" s="271"/>
      <c r="D235" s="271"/>
      <c r="E235" s="271"/>
      <c r="F235" s="271"/>
      <c r="G235" s="271"/>
      <c r="H235" s="271"/>
      <c r="I235" s="271"/>
      <c r="J235" s="271"/>
      <c r="K235" s="271"/>
      <c r="L235" s="271"/>
      <c r="M235" s="271"/>
      <c r="N235" s="271"/>
      <c r="O235" s="271"/>
      <c r="P235" s="271"/>
      <c r="Q235" s="271"/>
      <c r="R235" s="271"/>
      <c r="S235" s="271"/>
      <c r="T235" s="271"/>
      <c r="U235" s="271"/>
      <c r="V235" s="271"/>
      <c r="W235" s="271"/>
      <c r="X235" s="271"/>
      <c r="Y235" s="271"/>
      <c r="Z235" s="271"/>
    </row>
    <row r="236" spans="1:26">
      <c r="A236" s="302"/>
      <c r="B236" s="271"/>
      <c r="C236" s="271"/>
      <c r="D236" s="271"/>
      <c r="E236" s="271"/>
      <c r="F236" s="271"/>
      <c r="G236" s="271"/>
      <c r="H236" s="271"/>
      <c r="I236" s="271"/>
      <c r="J236" s="271"/>
      <c r="K236" s="271"/>
      <c r="L236" s="271"/>
      <c r="M236" s="271"/>
      <c r="N236" s="271"/>
      <c r="O236" s="271"/>
      <c r="P236" s="271"/>
      <c r="Q236" s="271"/>
      <c r="R236" s="271"/>
      <c r="S236" s="271"/>
      <c r="T236" s="271"/>
      <c r="U236" s="271"/>
      <c r="V236" s="271"/>
      <c r="W236" s="271"/>
      <c r="X236" s="271"/>
      <c r="Y236" s="271"/>
      <c r="Z236" s="271"/>
    </row>
    <row r="237" spans="1:26">
      <c r="A237" s="302"/>
      <c r="B237" s="271"/>
      <c r="C237" s="271"/>
      <c r="D237" s="271"/>
      <c r="E237" s="271"/>
      <c r="F237" s="271"/>
      <c r="G237" s="271"/>
      <c r="H237" s="271"/>
      <c r="I237" s="271"/>
      <c r="J237" s="271"/>
      <c r="K237" s="271"/>
      <c r="L237" s="271"/>
      <c r="M237" s="271"/>
      <c r="N237" s="271"/>
      <c r="O237" s="271"/>
      <c r="P237" s="271"/>
      <c r="Q237" s="271"/>
      <c r="R237" s="271"/>
      <c r="S237" s="271"/>
      <c r="T237" s="271"/>
      <c r="U237" s="271"/>
      <c r="V237" s="271"/>
      <c r="W237" s="271"/>
      <c r="X237" s="271"/>
      <c r="Y237" s="271"/>
      <c r="Z237" s="271"/>
    </row>
    <row r="238" spans="1:26">
      <c r="A238" s="302"/>
      <c r="B238" s="271"/>
      <c r="C238" s="271"/>
      <c r="D238" s="271"/>
      <c r="E238" s="271"/>
      <c r="F238" s="271"/>
      <c r="G238" s="271"/>
      <c r="H238" s="271"/>
      <c r="I238" s="271"/>
      <c r="J238" s="271"/>
      <c r="K238" s="271"/>
      <c r="L238" s="271"/>
      <c r="M238" s="271"/>
      <c r="N238" s="271"/>
      <c r="O238" s="271"/>
      <c r="P238" s="271"/>
      <c r="Q238" s="271"/>
      <c r="R238" s="271"/>
      <c r="S238" s="271"/>
      <c r="T238" s="271"/>
      <c r="U238" s="271"/>
      <c r="V238" s="271"/>
      <c r="W238" s="271"/>
      <c r="X238" s="271"/>
      <c r="Y238" s="271"/>
      <c r="Z238" s="271"/>
    </row>
    <row r="239" spans="1:26">
      <c r="A239" s="302"/>
      <c r="B239" s="271"/>
      <c r="C239" s="271"/>
      <c r="D239" s="271"/>
      <c r="E239" s="271"/>
      <c r="F239" s="271"/>
      <c r="G239" s="271"/>
      <c r="H239" s="271"/>
      <c r="I239" s="271"/>
      <c r="J239" s="271"/>
      <c r="K239" s="271"/>
      <c r="L239" s="271"/>
      <c r="M239" s="271"/>
      <c r="N239" s="271"/>
      <c r="O239" s="271"/>
      <c r="P239" s="271"/>
      <c r="Q239" s="271"/>
      <c r="R239" s="271"/>
      <c r="S239" s="271"/>
      <c r="T239" s="271"/>
      <c r="U239" s="271"/>
      <c r="V239" s="271"/>
      <c r="W239" s="271"/>
      <c r="X239" s="271"/>
      <c r="Y239" s="271"/>
      <c r="Z239" s="271"/>
    </row>
    <row r="240" spans="1:26">
      <c r="A240" s="302"/>
      <c r="B240" s="271"/>
      <c r="C240" s="271"/>
      <c r="D240" s="271"/>
      <c r="E240" s="271"/>
      <c r="F240" s="271"/>
      <c r="G240" s="271"/>
      <c r="H240" s="271"/>
      <c r="I240" s="271"/>
      <c r="J240" s="271"/>
      <c r="K240" s="271"/>
      <c r="L240" s="271"/>
      <c r="M240" s="271"/>
      <c r="N240" s="271"/>
      <c r="O240" s="271"/>
      <c r="P240" s="271"/>
      <c r="Q240" s="271"/>
      <c r="R240" s="271"/>
      <c r="S240" s="271"/>
      <c r="T240" s="271"/>
      <c r="U240" s="271"/>
      <c r="V240" s="271"/>
      <c r="W240" s="271"/>
      <c r="X240" s="271"/>
      <c r="Y240" s="271"/>
      <c r="Z240" s="271"/>
    </row>
    <row r="241" spans="1:26">
      <c r="A241" s="302"/>
      <c r="B241" s="271"/>
      <c r="C241" s="271"/>
      <c r="D241" s="271"/>
      <c r="E241" s="271"/>
      <c r="F241" s="271"/>
      <c r="G241" s="271"/>
      <c r="H241" s="271"/>
      <c r="I241" s="271"/>
      <c r="J241" s="271"/>
      <c r="K241" s="271"/>
      <c r="L241" s="271"/>
      <c r="M241" s="271"/>
      <c r="N241" s="271"/>
      <c r="O241" s="271"/>
      <c r="P241" s="271"/>
      <c r="Q241" s="271"/>
      <c r="R241" s="271"/>
      <c r="S241" s="271"/>
      <c r="T241" s="271"/>
      <c r="U241" s="271"/>
      <c r="V241" s="271"/>
      <c r="W241" s="271"/>
      <c r="X241" s="271"/>
      <c r="Y241" s="271"/>
      <c r="Z241" s="271"/>
    </row>
  </sheetData>
  <sheetProtection algorithmName="SHA-512" hashValue="vh6xb7j5juhi/nxtnEr4NKIb6ZLRZOXTYaTDYqw9sOaZXMAxns75AFI2RgrfsdjOI80p75ttOZGEdXP+xSHfMQ==" saltValue="39WEo4y4WyLZa/7VkIieww==" spinCount="100000" sheet="1" objects="1" scenarios="1" selectLockedCells="1"/>
  <mergeCells count="150">
    <mergeCell ref="H155:I155"/>
    <mergeCell ref="C195:P195"/>
    <mergeCell ref="C144:P144"/>
    <mergeCell ref="R113:U113"/>
    <mergeCell ref="C191:C193"/>
    <mergeCell ref="C146:P146"/>
    <mergeCell ref="C181:H181"/>
    <mergeCell ref="I181:N181"/>
    <mergeCell ref="C183:C185"/>
    <mergeCell ref="C186:C187"/>
    <mergeCell ref="K137:L137"/>
    <mergeCell ref="M137:N137"/>
    <mergeCell ref="C139:H139"/>
    <mergeCell ref="C143:P143"/>
    <mergeCell ref="Q137:R137"/>
    <mergeCell ref="U137:V137"/>
    <mergeCell ref="K138:L138"/>
    <mergeCell ref="M138:N138"/>
    <mergeCell ref="U138:V138"/>
    <mergeCell ref="T133:T134"/>
    <mergeCell ref="U133:V133"/>
    <mergeCell ref="C134:D134"/>
    <mergeCell ref="Q134:R134"/>
    <mergeCell ref="C135:D135"/>
    <mergeCell ref="E135:F135"/>
    <mergeCell ref="Q135:R135"/>
    <mergeCell ref="G135:H135"/>
    <mergeCell ref="G136:H136"/>
    <mergeCell ref="C137:H137"/>
    <mergeCell ref="F138:H138"/>
    <mergeCell ref="Q110:R110"/>
    <mergeCell ref="C111:F111"/>
    <mergeCell ref="I111:J111"/>
    <mergeCell ref="J133:J134"/>
    <mergeCell ref="K133:L133"/>
    <mergeCell ref="M133:N133"/>
    <mergeCell ref="Q133:R133"/>
    <mergeCell ref="I106:L106"/>
    <mergeCell ref="C133:H133"/>
    <mergeCell ref="E134:H134"/>
    <mergeCell ref="U106:V106"/>
    <mergeCell ref="E107:F107"/>
    <mergeCell ref="I107:J107"/>
    <mergeCell ref="K107:L107"/>
    <mergeCell ref="Q107:R107"/>
    <mergeCell ref="C104:D104"/>
    <mergeCell ref="E104:F104"/>
    <mergeCell ref="I104:J104"/>
    <mergeCell ref="K104:L104"/>
    <mergeCell ref="Q104:R104"/>
    <mergeCell ref="U104:V104"/>
    <mergeCell ref="B114:D114"/>
    <mergeCell ref="E114:G114"/>
    <mergeCell ref="H114:J114"/>
    <mergeCell ref="Q102:R102"/>
    <mergeCell ref="C103:D103"/>
    <mergeCell ref="E103:F103"/>
    <mergeCell ref="I103:L103"/>
    <mergeCell ref="U103:V103"/>
    <mergeCell ref="C90:D90"/>
    <mergeCell ref="E90:F90"/>
    <mergeCell ref="C98:W98"/>
    <mergeCell ref="C100:L100"/>
    <mergeCell ref="Q100:W100"/>
    <mergeCell ref="K90:L90"/>
    <mergeCell ref="M90:N90"/>
    <mergeCell ref="K92:N92"/>
    <mergeCell ref="G90:H90"/>
    <mergeCell ref="G91:H91"/>
    <mergeCell ref="C92:H92"/>
    <mergeCell ref="F93:H93"/>
    <mergeCell ref="C102:F102"/>
    <mergeCell ref="G49:H49"/>
    <mergeCell ref="Q65:R65"/>
    <mergeCell ref="C66:F66"/>
    <mergeCell ref="I66:J66"/>
    <mergeCell ref="C89:D89"/>
    <mergeCell ref="E62:F62"/>
    <mergeCell ref="I62:J62"/>
    <mergeCell ref="K62:L62"/>
    <mergeCell ref="O63:P63"/>
    <mergeCell ref="Q63:R63"/>
    <mergeCell ref="O64:P64"/>
    <mergeCell ref="Q64:R64"/>
    <mergeCell ref="K88:N88"/>
    <mergeCell ref="K89:L89"/>
    <mergeCell ref="M89:N89"/>
    <mergeCell ref="E89:H89"/>
    <mergeCell ref="C88:H88"/>
    <mergeCell ref="H69:J69"/>
    <mergeCell ref="K69:M69"/>
    <mergeCell ref="E69:G69"/>
    <mergeCell ref="B69:D69"/>
    <mergeCell ref="E27:G27"/>
    <mergeCell ref="Q58:R58"/>
    <mergeCell ref="J21:K21"/>
    <mergeCell ref="L21:M21"/>
    <mergeCell ref="C24:F24"/>
    <mergeCell ref="I24:J24"/>
    <mergeCell ref="C47:D47"/>
    <mergeCell ref="C59:D59"/>
    <mergeCell ref="E59:F59"/>
    <mergeCell ref="I59:J59"/>
    <mergeCell ref="K59:L59"/>
    <mergeCell ref="C48:D48"/>
    <mergeCell ref="E48:F48"/>
    <mergeCell ref="C55:R55"/>
    <mergeCell ref="C57:F57"/>
    <mergeCell ref="C58:D58"/>
    <mergeCell ref="E58:F58"/>
    <mergeCell ref="I58:L58"/>
    <mergeCell ref="N58:N59"/>
    <mergeCell ref="O58:P58"/>
    <mergeCell ref="K48:L48"/>
    <mergeCell ref="M48:N48"/>
    <mergeCell ref="K50:N50"/>
    <mergeCell ref="G48:H48"/>
    <mergeCell ref="B1:E2"/>
    <mergeCell ref="C13:M13"/>
    <mergeCell ref="C15:F15"/>
    <mergeCell ref="I15:I16"/>
    <mergeCell ref="J15:K15"/>
    <mergeCell ref="L15:M15"/>
    <mergeCell ref="C16:D16"/>
    <mergeCell ref="E16:F16"/>
    <mergeCell ref="C6:G6"/>
    <mergeCell ref="C197:P197"/>
    <mergeCell ref="C215:P215"/>
    <mergeCell ref="C226:C227"/>
    <mergeCell ref="C206:P206"/>
    <mergeCell ref="I224:K224"/>
    <mergeCell ref="L224:M224"/>
    <mergeCell ref="C17:D17"/>
    <mergeCell ref="E17:F17"/>
    <mergeCell ref="J19:K19"/>
    <mergeCell ref="L19:M19"/>
    <mergeCell ref="E20:F20"/>
    <mergeCell ref="J20:K20"/>
    <mergeCell ref="L20:M20"/>
    <mergeCell ref="K46:N46"/>
    <mergeCell ref="K47:L47"/>
    <mergeCell ref="M47:N47"/>
    <mergeCell ref="C46:H46"/>
    <mergeCell ref="E47:H47"/>
    <mergeCell ref="I61:L61"/>
    <mergeCell ref="C50:H50"/>
    <mergeCell ref="F51:H51"/>
    <mergeCell ref="O65:P65"/>
    <mergeCell ref="C188:C190"/>
    <mergeCell ref="B27:D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C4CF-E9D4-464F-A6DF-A0BDB461C942}">
  <sheetPr>
    <tabColor rgb="FF1C617A"/>
  </sheetPr>
  <dimension ref="A1:AL104"/>
  <sheetViews>
    <sheetView showGridLines="0" showRowColHeaders="0" zoomScaleNormal="100" workbookViewId="0">
      <pane ySplit="3" topLeftCell="A24" activePane="bottomLeft" state="frozen"/>
      <selection activeCell="M5" sqref="M5"/>
      <selection pane="bottomLeft"/>
    </sheetView>
  </sheetViews>
  <sheetFormatPr defaultColWidth="0" defaultRowHeight="16.8" zeroHeight="1"/>
  <cols>
    <col min="1" max="1" width="6.6640625" style="556" customWidth="1"/>
    <col min="2" max="2" width="10.6640625" style="487" customWidth="1"/>
    <col min="3" max="4" width="9.109375" style="487" customWidth="1"/>
    <col min="5" max="5" width="18" style="487" bestFit="1" customWidth="1"/>
    <col min="6" max="6" width="12" style="487" customWidth="1"/>
    <col min="7" max="7" width="14.6640625" style="487" bestFit="1" customWidth="1"/>
    <col min="8" max="8" width="18" style="487" bestFit="1" customWidth="1"/>
    <col min="9" max="9" width="10.44140625" style="487" bestFit="1" customWidth="1"/>
    <col min="10" max="11" width="9.109375" style="487" customWidth="1"/>
    <col min="12" max="12" width="10" style="487" bestFit="1" customWidth="1"/>
    <col min="13" max="13" width="17.109375" style="487" bestFit="1" customWidth="1"/>
    <col min="14" max="14" width="9.109375" style="487" customWidth="1"/>
    <col min="15" max="15" width="14.88671875" style="487" bestFit="1" customWidth="1"/>
    <col min="16" max="16" width="18.109375" style="487" bestFit="1" customWidth="1"/>
    <col min="17" max="18" width="9.109375" style="487" customWidth="1"/>
    <col min="19" max="19" width="9.6640625" style="487" customWidth="1"/>
    <col min="20" max="20" width="10.109375" style="487" bestFit="1" customWidth="1"/>
    <col min="21" max="21" width="18.44140625" style="487" bestFit="1" customWidth="1"/>
    <col min="22" max="22" width="11.5546875" style="487" bestFit="1" customWidth="1"/>
    <col min="23" max="23" width="13.33203125" style="487" bestFit="1" customWidth="1"/>
    <col min="24" max="24" width="18.33203125" style="487" bestFit="1" customWidth="1"/>
    <col min="25" max="25" width="12" style="487" customWidth="1"/>
    <col min="26" max="26" width="10.6640625" style="487" customWidth="1"/>
    <col min="27" max="27" width="6.6640625" style="487" customWidth="1"/>
    <col min="28" max="28" width="9.109375" style="487" customWidth="1"/>
    <col min="29" max="29" width="20.5546875" style="487" bestFit="1" customWidth="1"/>
    <col min="30" max="30" width="10" style="487" bestFit="1" customWidth="1"/>
    <col min="31" max="31" width="9.109375" style="487" customWidth="1"/>
    <col min="32" max="32" width="20.5546875" style="487" bestFit="1" customWidth="1"/>
    <col min="33" max="34" width="9.109375" style="487" customWidth="1"/>
    <col min="35" max="35" width="13.6640625" style="487" bestFit="1" customWidth="1"/>
    <col min="36" max="36" width="18" style="487" bestFit="1" customWidth="1"/>
    <col min="37" max="37" width="13.109375" style="487" bestFit="1" customWidth="1"/>
    <col min="38" max="38" width="13" style="165" hidden="1" customWidth="1"/>
    <col min="39" max="16384" width="9.109375" style="165" hidden="1"/>
  </cols>
  <sheetData>
    <row r="1" spans="1:37" ht="9.9" customHeight="1">
      <c r="A1" s="553"/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71"/>
      <c r="AK1" s="271"/>
    </row>
    <row r="2" spans="1:37" ht="16.5" customHeight="1">
      <c r="A2" s="553"/>
      <c r="B2" s="293"/>
      <c r="C2" s="293"/>
      <c r="D2" s="488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71"/>
      <c r="AK2" s="271"/>
    </row>
    <row r="3" spans="1:37" ht="9.9" customHeight="1">
      <c r="A3" s="553"/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71"/>
      <c r="AK3" s="271"/>
    </row>
    <row r="4" spans="1:37" ht="30" customHeight="1">
      <c r="A4" s="553"/>
      <c r="B4" s="293"/>
      <c r="C4" s="293"/>
      <c r="D4" s="554" t="s">
        <v>264</v>
      </c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71"/>
      <c r="AK4" s="271"/>
    </row>
    <row r="5" spans="1:37">
      <c r="A5" s="553"/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71"/>
      <c r="AK5" s="271"/>
    </row>
    <row r="6" spans="1:37" s="548" customFormat="1" ht="19.2">
      <c r="A6" s="555"/>
      <c r="B6" s="498"/>
      <c r="C6" s="498"/>
      <c r="D6" s="830" t="s">
        <v>78</v>
      </c>
      <c r="E6" s="830"/>
      <c r="F6" s="830"/>
      <c r="G6" s="830"/>
      <c r="H6" s="830"/>
      <c r="I6" s="547"/>
      <c r="J6" s="547"/>
      <c r="K6" s="547"/>
      <c r="L6" s="830" t="s">
        <v>83</v>
      </c>
      <c r="M6" s="830"/>
      <c r="N6" s="830"/>
      <c r="O6" s="830"/>
      <c r="P6" s="830"/>
      <c r="Q6" s="547"/>
      <c r="R6" s="547"/>
      <c r="S6" s="547"/>
      <c r="T6" s="830" t="s">
        <v>85</v>
      </c>
      <c r="U6" s="830"/>
      <c r="V6" s="830"/>
      <c r="W6" s="830"/>
      <c r="X6" s="830"/>
      <c r="Y6" s="498"/>
      <c r="Z6" s="498"/>
      <c r="AA6" s="498"/>
      <c r="AB6" s="830" t="s">
        <v>86</v>
      </c>
      <c r="AC6" s="830"/>
      <c r="AD6" s="830"/>
      <c r="AE6" s="830"/>
      <c r="AF6" s="830"/>
      <c r="AG6" s="498"/>
      <c r="AH6" s="498"/>
      <c r="AI6" s="498"/>
      <c r="AJ6" s="290"/>
      <c r="AK6" s="290"/>
    </row>
    <row r="7" spans="1:37">
      <c r="A7" s="553"/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3"/>
      <c r="AG7" s="293"/>
      <c r="AH7" s="293"/>
      <c r="AI7" s="293"/>
      <c r="AJ7" s="271"/>
      <c r="AK7" s="271"/>
    </row>
    <row r="8" spans="1:37" s="548" customFormat="1" ht="19.2">
      <c r="A8" s="555"/>
      <c r="B8" s="498"/>
      <c r="C8" s="498"/>
      <c r="D8" s="836" t="s">
        <v>136</v>
      </c>
      <c r="E8" s="836"/>
      <c r="F8" s="836"/>
      <c r="G8" s="836"/>
      <c r="H8" s="836"/>
      <c r="I8" s="498"/>
      <c r="J8" s="498"/>
      <c r="K8" s="498"/>
      <c r="L8" s="835" t="s">
        <v>98</v>
      </c>
      <c r="M8" s="835"/>
      <c r="N8" s="835"/>
      <c r="O8" s="835"/>
      <c r="P8" s="835"/>
      <c r="Q8" s="498"/>
      <c r="R8" s="498"/>
      <c r="S8" s="498"/>
      <c r="T8" s="836" t="s">
        <v>98</v>
      </c>
      <c r="U8" s="836"/>
      <c r="V8" s="836"/>
      <c r="W8" s="836"/>
      <c r="X8" s="836"/>
      <c r="Y8" s="498"/>
      <c r="Z8" s="498"/>
      <c r="AA8" s="498"/>
      <c r="AB8" s="498"/>
      <c r="AC8" s="498"/>
      <c r="AD8" s="498"/>
      <c r="AE8" s="498"/>
      <c r="AF8" s="498"/>
      <c r="AG8" s="498"/>
      <c r="AH8" s="498"/>
      <c r="AI8" s="498"/>
      <c r="AJ8" s="290"/>
      <c r="AK8" s="290"/>
    </row>
    <row r="9" spans="1:37" ht="15" customHeight="1">
      <c r="A9" s="553"/>
      <c r="B9" s="293"/>
      <c r="C9" s="293"/>
      <c r="D9" s="588" t="s">
        <v>529</v>
      </c>
      <c r="E9" s="518">
        <f>DSB!C27</f>
        <v>1.5</v>
      </c>
      <c r="F9" s="549"/>
      <c r="G9" s="588" t="s">
        <v>522</v>
      </c>
      <c r="H9" s="519">
        <f>(E10*E9^3)/12</f>
        <v>1.40625</v>
      </c>
      <c r="I9" s="293"/>
      <c r="J9" s="293"/>
      <c r="K9" s="293"/>
      <c r="L9" s="587" t="s">
        <v>529</v>
      </c>
      <c r="M9" s="533">
        <f>DSB!F27</f>
        <v>6</v>
      </c>
      <c r="N9" s="549"/>
      <c r="O9" s="587" t="s">
        <v>534</v>
      </c>
      <c r="P9" s="515">
        <f>(M10*M9^3)/12</f>
        <v>72</v>
      </c>
      <c r="Q9" s="293"/>
      <c r="R9" s="293"/>
      <c r="S9" s="293"/>
      <c r="T9" s="588" t="s">
        <v>529</v>
      </c>
      <c r="U9" s="518">
        <f>DSB!I27</f>
        <v>16</v>
      </c>
      <c r="V9" s="549"/>
      <c r="W9" s="588" t="s">
        <v>522</v>
      </c>
      <c r="X9" s="536">
        <f>(U10*U9^3)/12</f>
        <v>2048</v>
      </c>
      <c r="Y9" s="293"/>
      <c r="Z9" s="293"/>
      <c r="AA9" s="293"/>
      <c r="AB9" s="293"/>
      <c r="AC9" s="293"/>
      <c r="AD9" s="293"/>
      <c r="AE9" s="293"/>
      <c r="AF9" s="293"/>
      <c r="AG9" s="293"/>
      <c r="AH9" s="293"/>
      <c r="AI9" s="293"/>
      <c r="AJ9" s="271"/>
      <c r="AK9" s="271"/>
    </row>
    <row r="10" spans="1:37" ht="15" customHeight="1">
      <c r="A10" s="553"/>
      <c r="B10" s="293"/>
      <c r="C10" s="293"/>
      <c r="D10" s="587" t="s">
        <v>530</v>
      </c>
      <c r="E10" s="533">
        <f>DSB!C25</f>
        <v>5</v>
      </c>
      <c r="F10" s="281"/>
      <c r="G10" s="587" t="s">
        <v>524</v>
      </c>
      <c r="H10" s="501">
        <f>(E9*E10^3)/12</f>
        <v>15.625</v>
      </c>
      <c r="I10" s="293"/>
      <c r="J10" s="293"/>
      <c r="K10" s="293"/>
      <c r="L10" s="587" t="s">
        <v>533</v>
      </c>
      <c r="M10" s="533">
        <f>DSB!F25</f>
        <v>4</v>
      </c>
      <c r="N10" s="281"/>
      <c r="O10" s="587" t="s">
        <v>524</v>
      </c>
      <c r="P10" s="515">
        <f>(M9*M10^3)/12</f>
        <v>32</v>
      </c>
      <c r="Q10" s="293"/>
      <c r="R10" s="293"/>
      <c r="S10" s="293"/>
      <c r="T10" s="587" t="s">
        <v>530</v>
      </c>
      <c r="U10" s="533">
        <f>DSB!I25</f>
        <v>6</v>
      </c>
      <c r="V10" s="281"/>
      <c r="W10" s="587" t="s">
        <v>524</v>
      </c>
      <c r="X10" s="515">
        <f>(U9*U10^3)/12</f>
        <v>288</v>
      </c>
      <c r="Y10" s="293"/>
      <c r="Z10" s="293"/>
      <c r="AA10" s="293"/>
      <c r="AB10" s="293"/>
      <c r="AC10" s="293"/>
      <c r="AD10" s="293"/>
      <c r="AE10" s="293"/>
      <c r="AF10" s="293"/>
      <c r="AG10" s="293"/>
      <c r="AH10" s="293"/>
      <c r="AI10" s="293"/>
      <c r="AJ10" s="271"/>
      <c r="AK10" s="271"/>
    </row>
    <row r="11" spans="1:37" ht="15" customHeight="1">
      <c r="A11" s="553"/>
      <c r="B11" s="293"/>
      <c r="C11" s="293"/>
      <c r="D11" s="293"/>
      <c r="E11" s="293"/>
      <c r="F11" s="293"/>
      <c r="G11" s="293"/>
      <c r="H11" s="293"/>
      <c r="I11" s="293"/>
      <c r="J11" s="293"/>
      <c r="K11" s="293"/>
      <c r="L11" s="587" t="s">
        <v>145</v>
      </c>
      <c r="M11" s="533">
        <f>DSB!I29*100</f>
        <v>154.06654406456971</v>
      </c>
      <c r="N11" s="281"/>
      <c r="O11" s="587" t="s">
        <v>535</v>
      </c>
      <c r="P11" s="505">
        <f>M9/SQRT(12)</f>
        <v>1.7320508075688774</v>
      </c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  <c r="AG11" s="293"/>
      <c r="AH11" s="293"/>
      <c r="AI11" s="293"/>
      <c r="AJ11" s="271"/>
      <c r="AK11" s="271"/>
    </row>
    <row r="12" spans="1:37" ht="19.2">
      <c r="A12" s="553"/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587" t="s">
        <v>87</v>
      </c>
      <c r="M12" s="550">
        <f>M9*M10</f>
        <v>24</v>
      </c>
      <c r="N12" s="281"/>
      <c r="O12" s="587" t="s">
        <v>498</v>
      </c>
      <c r="P12" s="505">
        <f>M10/SQRT(12)</f>
        <v>1.1547005383792517</v>
      </c>
      <c r="Q12" s="490"/>
      <c r="R12" s="293"/>
      <c r="S12" s="293"/>
      <c r="T12" s="833" t="s">
        <v>212</v>
      </c>
      <c r="U12" s="833"/>
      <c r="V12" s="833"/>
      <c r="W12" s="833"/>
      <c r="X12" s="833"/>
      <c r="Y12" s="293"/>
      <c r="Z12" s="293"/>
      <c r="AA12" s="293"/>
      <c r="AB12" s="293"/>
      <c r="AC12" s="293"/>
      <c r="AD12" s="293"/>
      <c r="AE12" s="293"/>
      <c r="AF12" s="293"/>
      <c r="AG12" s="293"/>
      <c r="AH12" s="293"/>
      <c r="AI12" s="293"/>
      <c r="AJ12" s="271"/>
      <c r="AK12" s="271"/>
    </row>
    <row r="13" spans="1:37">
      <c r="A13" s="553"/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587" t="s">
        <v>480</v>
      </c>
      <c r="M13" s="345">
        <f>CMB!Q63</f>
        <v>0.86464796238788333</v>
      </c>
      <c r="N13" s="281"/>
      <c r="O13" s="587" t="s">
        <v>536</v>
      </c>
      <c r="P13" s="368">
        <f>CMB!F93</f>
        <v>0.51827793631612096</v>
      </c>
      <c r="Q13" s="271"/>
      <c r="R13" s="293"/>
      <c r="S13" s="293"/>
      <c r="T13" s="293"/>
      <c r="U13" s="293"/>
      <c r="V13" s="293"/>
      <c r="W13" s="293"/>
      <c r="X13" s="293"/>
      <c r="Y13" s="293"/>
      <c r="Z13" s="293"/>
      <c r="AA13" s="293"/>
      <c r="AB13" s="293"/>
      <c r="AC13" s="293"/>
      <c r="AD13" s="293"/>
      <c r="AE13" s="293"/>
      <c r="AF13" s="293"/>
      <c r="AG13" s="293"/>
      <c r="AH13" s="293"/>
      <c r="AI13" s="293"/>
      <c r="AJ13" s="271"/>
      <c r="AK13" s="271"/>
    </row>
    <row r="14" spans="1:37" ht="19.2">
      <c r="A14" s="553"/>
      <c r="B14" s="293"/>
      <c r="C14" s="293"/>
      <c r="D14" s="831" t="s">
        <v>99</v>
      </c>
      <c r="E14" s="831"/>
      <c r="F14" s="293"/>
      <c r="G14" s="831" t="s">
        <v>103</v>
      </c>
      <c r="H14" s="831"/>
      <c r="I14" s="293"/>
      <c r="J14" s="293"/>
      <c r="K14" s="293"/>
      <c r="L14" s="587" t="s">
        <v>481</v>
      </c>
      <c r="M14" s="551">
        <f>CMB!Q64*100</f>
        <v>51.740830849393319</v>
      </c>
      <c r="N14" s="281"/>
      <c r="O14" s="587" t="s">
        <v>537</v>
      </c>
      <c r="P14" s="368">
        <f>CMB!N93</f>
        <v>0.64959626636564649</v>
      </c>
      <c r="Q14" s="293"/>
      <c r="R14" s="293"/>
      <c r="S14" s="293"/>
      <c r="T14" s="831" t="s">
        <v>322</v>
      </c>
      <c r="U14" s="831"/>
      <c r="V14" s="293"/>
      <c r="W14" s="831" t="s">
        <v>103</v>
      </c>
      <c r="X14" s="831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71"/>
      <c r="AK14" s="271"/>
    </row>
    <row r="15" spans="1:37" ht="19.2">
      <c r="A15" s="553"/>
      <c r="B15" s="293"/>
      <c r="C15" s="293"/>
      <c r="D15" s="759" t="s">
        <v>261</v>
      </c>
      <c r="E15" s="759"/>
      <c r="F15" s="293"/>
      <c r="G15" s="744" t="s">
        <v>261</v>
      </c>
      <c r="H15" s="744"/>
      <c r="I15" s="293"/>
      <c r="J15" s="293"/>
      <c r="K15" s="293"/>
      <c r="L15" s="587" t="s">
        <v>482</v>
      </c>
      <c r="M15" s="345">
        <f>CMB!O65</f>
        <v>0.52171978747472292</v>
      </c>
      <c r="N15" s="281"/>
      <c r="O15" s="587" t="s">
        <v>112</v>
      </c>
      <c r="P15" s="513">
        <f>VLOOKUP(RST!$D$9,AXB!$C$77:$E$80,3)</f>
        <v>0.6</v>
      </c>
      <c r="Q15" s="293"/>
      <c r="R15" s="293"/>
      <c r="S15" s="293"/>
      <c r="T15" s="745" t="s">
        <v>97</v>
      </c>
      <c r="U15" s="745"/>
      <c r="V15" s="293"/>
      <c r="W15" s="759" t="s">
        <v>97</v>
      </c>
      <c r="X15" s="759"/>
      <c r="Y15" s="293"/>
      <c r="Z15" s="293"/>
      <c r="AA15" s="293"/>
      <c r="AB15" s="834" t="s">
        <v>98</v>
      </c>
      <c r="AC15" s="834"/>
      <c r="AD15" s="834"/>
      <c r="AE15" s="834"/>
      <c r="AF15" s="834"/>
      <c r="AG15" s="293"/>
      <c r="AH15" s="293"/>
      <c r="AI15" s="293"/>
      <c r="AJ15" s="271"/>
      <c r="AK15" s="271"/>
    </row>
    <row r="16" spans="1:37">
      <c r="A16" s="553"/>
      <c r="B16" s="293"/>
      <c r="C16" s="293"/>
      <c r="D16" s="587" t="s">
        <v>483</v>
      </c>
      <c r="E16" s="521">
        <f>CMB!L20*100</f>
        <v>2.3778149188709348</v>
      </c>
      <c r="F16" s="293"/>
      <c r="G16" s="587" t="s">
        <v>484</v>
      </c>
      <c r="H16" s="521">
        <f>CMB!J20*100</f>
        <v>0.71737467043902792</v>
      </c>
      <c r="I16" s="293"/>
      <c r="J16" s="293"/>
      <c r="K16" s="293"/>
      <c r="L16" s="289"/>
      <c r="M16" s="321"/>
      <c r="N16" s="289"/>
      <c r="O16" s="491"/>
      <c r="P16" s="293"/>
      <c r="Q16" s="293"/>
      <c r="R16" s="293"/>
      <c r="S16" s="293"/>
      <c r="T16" s="588" t="s">
        <v>483</v>
      </c>
      <c r="U16" s="534">
        <f>CMB!M138*100</f>
        <v>154.26791697505629</v>
      </c>
      <c r="V16" s="293"/>
      <c r="W16" s="587" t="s">
        <v>484</v>
      </c>
      <c r="X16" s="535">
        <f>CMB!K138*100</f>
        <v>46.541846138237325</v>
      </c>
      <c r="Y16" s="293"/>
      <c r="Z16" s="293"/>
      <c r="AA16" s="293"/>
      <c r="AB16" s="588" t="s">
        <v>529</v>
      </c>
      <c r="AC16" s="518">
        <f>DSB!C34</f>
        <v>10</v>
      </c>
      <c r="AD16" s="540"/>
      <c r="AE16" s="588" t="s">
        <v>522</v>
      </c>
      <c r="AF16" s="536">
        <f>(AC17*AC16^3)/12</f>
        <v>666.66666666666663</v>
      </c>
      <c r="AG16" s="293"/>
      <c r="AH16" s="293"/>
      <c r="AI16" s="293"/>
      <c r="AJ16" s="271"/>
      <c r="AK16" s="271"/>
    </row>
    <row r="17" spans="1:37">
      <c r="A17" s="553"/>
      <c r="B17" s="293"/>
      <c r="C17" s="293"/>
      <c r="D17" s="587" t="s">
        <v>485</v>
      </c>
      <c r="E17" s="345">
        <f>CMB!J19</f>
        <v>4.0992838310801596E-2</v>
      </c>
      <c r="F17" s="293"/>
      <c r="G17" s="587" t="s">
        <v>486</v>
      </c>
      <c r="H17" s="345">
        <f>CMB!L19</f>
        <v>0.13587513822119629</v>
      </c>
      <c r="I17" s="293"/>
      <c r="J17" s="293"/>
      <c r="K17" s="293"/>
      <c r="L17" s="289"/>
      <c r="M17" s="532"/>
      <c r="N17" s="289"/>
      <c r="O17" s="492"/>
      <c r="P17" s="293"/>
      <c r="Q17" s="293"/>
      <c r="R17" s="293"/>
      <c r="S17" s="293"/>
      <c r="T17" s="587" t="s">
        <v>485</v>
      </c>
      <c r="U17" s="345">
        <f>CMB!K137</f>
        <v>0.65553648237298545</v>
      </c>
      <c r="V17" s="293"/>
      <c r="W17" s="587" t="s">
        <v>486</v>
      </c>
      <c r="X17" s="345">
        <f>CMB!M137</f>
        <v>2.1728456438205699</v>
      </c>
      <c r="Y17" s="293"/>
      <c r="Z17" s="293"/>
      <c r="AA17" s="293"/>
      <c r="AB17" s="587" t="s">
        <v>530</v>
      </c>
      <c r="AC17" s="533">
        <f>DSB!C32</f>
        <v>8</v>
      </c>
      <c r="AD17" s="336"/>
      <c r="AE17" s="594" t="s">
        <v>524</v>
      </c>
      <c r="AF17" s="515">
        <f>(AC16*AC17^3)/12</f>
        <v>426.66666666666669</v>
      </c>
      <c r="AG17" s="293"/>
      <c r="AH17" s="293"/>
      <c r="AI17" s="293"/>
      <c r="AJ17" s="271"/>
      <c r="AK17" s="271"/>
    </row>
    <row r="18" spans="1:37" ht="19.2">
      <c r="A18" s="553"/>
      <c r="B18" s="489"/>
      <c r="C18" s="293"/>
      <c r="D18" s="587" t="s">
        <v>145</v>
      </c>
      <c r="E18" s="502">
        <f>DSB!F29*100</f>
        <v>70</v>
      </c>
      <c r="F18" s="293"/>
      <c r="G18" s="587" t="s">
        <v>145</v>
      </c>
      <c r="H18" s="502">
        <f>E18</f>
        <v>70</v>
      </c>
      <c r="I18" s="489"/>
      <c r="J18" s="293"/>
      <c r="K18" s="293"/>
      <c r="L18" s="831" t="s">
        <v>369</v>
      </c>
      <c r="M18" s="831"/>
      <c r="N18" s="289"/>
      <c r="O18" s="744" t="s">
        <v>174</v>
      </c>
      <c r="P18" s="744"/>
      <c r="Q18" s="293"/>
      <c r="R18" s="293"/>
      <c r="S18" s="293"/>
      <c r="T18" s="587" t="s">
        <v>145</v>
      </c>
      <c r="U18" s="502">
        <f>DSB!C36*100</f>
        <v>250</v>
      </c>
      <c r="V18" s="293"/>
      <c r="W18" s="587" t="s">
        <v>145</v>
      </c>
      <c r="X18" s="502">
        <f>U18</f>
        <v>250</v>
      </c>
      <c r="Y18" s="293"/>
      <c r="Z18" s="293"/>
      <c r="AA18" s="293"/>
      <c r="AB18" s="293"/>
      <c r="AC18" s="293"/>
      <c r="AD18" s="293"/>
      <c r="AE18" s="293"/>
      <c r="AF18" s="293"/>
      <c r="AG18" s="293"/>
      <c r="AH18" s="293"/>
      <c r="AI18" s="293"/>
      <c r="AJ18" s="271"/>
      <c r="AK18" s="271"/>
    </row>
    <row r="19" spans="1:37">
      <c r="A19" s="553"/>
      <c r="B19" s="271"/>
      <c r="C19" s="490"/>
      <c r="D19" s="587" t="s">
        <v>531</v>
      </c>
      <c r="E19" s="368">
        <f>CMB!F51</f>
        <v>0.27107659366741449</v>
      </c>
      <c r="F19" s="293"/>
      <c r="G19" s="587" t="s">
        <v>532</v>
      </c>
      <c r="H19" s="368">
        <f>CMB!D51</f>
        <v>8.178242995389795E-2</v>
      </c>
      <c r="I19" s="271"/>
      <c r="J19" s="293"/>
      <c r="K19" s="293"/>
      <c r="L19" s="587" t="s">
        <v>487</v>
      </c>
      <c r="M19" s="503">
        <f>RST!$N$8</f>
        <v>1.6</v>
      </c>
      <c r="N19" s="289"/>
      <c r="O19" s="587" t="s">
        <v>430</v>
      </c>
      <c r="P19" s="511">
        <f>RST!$N$10</f>
        <v>0.17499999999999999</v>
      </c>
      <c r="Q19" s="293"/>
      <c r="R19" s="293"/>
      <c r="S19" s="293"/>
      <c r="T19" s="587" t="s">
        <v>542</v>
      </c>
      <c r="U19" s="368">
        <f>CMB!F138</f>
        <v>1.2164094157975922</v>
      </c>
      <c r="V19" s="293"/>
      <c r="W19" s="587" t="s">
        <v>488</v>
      </c>
      <c r="X19" s="368">
        <f>CMB!D138</f>
        <v>0.36698453561351096</v>
      </c>
      <c r="Y19" s="293"/>
      <c r="Z19" s="293"/>
      <c r="AA19" s="293"/>
      <c r="AB19" s="793" t="s">
        <v>343</v>
      </c>
      <c r="AC19" s="793"/>
      <c r="AD19" s="793"/>
      <c r="AE19" s="793"/>
      <c r="AF19" s="793"/>
      <c r="AG19" s="293"/>
      <c r="AH19" s="293"/>
      <c r="AI19" s="293"/>
      <c r="AJ19" s="271"/>
      <c r="AK19" s="271"/>
    </row>
    <row r="20" spans="1:37">
      <c r="A20" s="553"/>
      <c r="B20" s="293"/>
      <c r="C20" s="293"/>
      <c r="D20" s="589" t="s">
        <v>538</v>
      </c>
      <c r="E20" s="431">
        <f>CMB!N51</f>
        <v>0.33619911549464049</v>
      </c>
      <c r="F20" s="293"/>
      <c r="G20" s="589" t="s">
        <v>539</v>
      </c>
      <c r="H20" s="431">
        <f>CMB!L51</f>
        <v>0.10142956365770514</v>
      </c>
      <c r="I20" s="293"/>
      <c r="J20" s="293"/>
      <c r="K20" s="293"/>
      <c r="L20" s="587" t="s">
        <v>489</v>
      </c>
      <c r="M20" s="503">
        <f>(M14*M9/2)/P9</f>
        <v>2.1558679520580548</v>
      </c>
      <c r="N20" s="293"/>
      <c r="O20" s="587" t="s">
        <v>490</v>
      </c>
      <c r="P20" s="511">
        <f>1.5*M13/M12</f>
        <v>5.4040497649242708E-2</v>
      </c>
      <c r="Q20" s="293"/>
      <c r="R20" s="293"/>
      <c r="S20" s="293"/>
      <c r="T20" s="589" t="s">
        <v>462</v>
      </c>
      <c r="U20" s="431">
        <f>CMB!F112</f>
        <v>1.7382765150564559</v>
      </c>
      <c r="V20" s="293"/>
      <c r="W20" s="589" t="s">
        <v>461</v>
      </c>
      <c r="X20" s="431">
        <f>CMB!D112</f>
        <v>0.52442918589838838</v>
      </c>
      <c r="Y20" s="293"/>
      <c r="Z20" s="293"/>
      <c r="AA20" s="293"/>
      <c r="AB20" s="293"/>
      <c r="AC20" s="293"/>
      <c r="AD20" s="293"/>
      <c r="AE20" s="293"/>
      <c r="AF20" s="293"/>
      <c r="AG20" s="293"/>
      <c r="AH20" s="293"/>
      <c r="AI20" s="293"/>
      <c r="AJ20" s="271"/>
      <c r="AK20" s="271"/>
    </row>
    <row r="21" spans="1:37">
      <c r="A21" s="553"/>
      <c r="B21" s="293"/>
      <c r="C21" s="293"/>
      <c r="D21" s="759" t="s">
        <v>368</v>
      </c>
      <c r="E21" s="759"/>
      <c r="F21" s="293"/>
      <c r="G21" s="759" t="s">
        <v>368</v>
      </c>
      <c r="H21" s="759"/>
      <c r="I21" s="293"/>
      <c r="J21" s="293"/>
      <c r="K21" s="293"/>
      <c r="L21" s="819" t="str">
        <f>IF(M20&lt;=M19,"ATENDE","NÃO ATENDE")</f>
        <v>NÃO ATENDE</v>
      </c>
      <c r="M21" s="819"/>
      <c r="N21" s="293"/>
      <c r="O21" s="749" t="str">
        <f>IF(P20&lt;=P19,"ATENDE","NÃO ATENDE")</f>
        <v>ATENDE</v>
      </c>
      <c r="P21" s="749"/>
      <c r="Q21" s="293"/>
      <c r="R21" s="293"/>
      <c r="S21" s="293"/>
      <c r="T21" s="759" t="s">
        <v>368</v>
      </c>
      <c r="U21" s="759"/>
      <c r="V21" s="293"/>
      <c r="W21" s="759" t="s">
        <v>368</v>
      </c>
      <c r="X21" s="759"/>
      <c r="Y21" s="293"/>
      <c r="Z21" s="293"/>
      <c r="AA21" s="293"/>
      <c r="AB21" s="744" t="str">
        <f>CONCATENATE("BANZO INFERIOR - Barra ",CMB!$J$188)</f>
        <v>BANZO INFERIOR - Barra 1</v>
      </c>
      <c r="AC21" s="744"/>
      <c r="AD21" s="293"/>
      <c r="AE21" s="744" t="s">
        <v>283</v>
      </c>
      <c r="AF21" s="744"/>
      <c r="AG21" s="293"/>
      <c r="AH21" s="293"/>
      <c r="AI21" s="293"/>
      <c r="AJ21" s="271"/>
      <c r="AK21" s="271"/>
    </row>
    <row r="22" spans="1:37">
      <c r="A22" s="553"/>
      <c r="B22" s="293"/>
      <c r="C22" s="293"/>
      <c r="D22" s="587" t="s">
        <v>487</v>
      </c>
      <c r="E22" s="503">
        <f>RST!$N$8</f>
        <v>1.6</v>
      </c>
      <c r="F22" s="293"/>
      <c r="G22" s="587" t="s">
        <v>487</v>
      </c>
      <c r="H22" s="503">
        <f>E22</f>
        <v>1.6</v>
      </c>
      <c r="I22" s="293"/>
      <c r="J22" s="293"/>
      <c r="K22" s="293"/>
      <c r="L22" s="271"/>
      <c r="M22" s="271"/>
      <c r="N22" s="293"/>
      <c r="O22" s="744" t="s">
        <v>338</v>
      </c>
      <c r="P22" s="744"/>
      <c r="Q22" s="293"/>
      <c r="R22" s="293"/>
      <c r="S22" s="293"/>
      <c r="T22" s="587" t="s">
        <v>487</v>
      </c>
      <c r="U22" s="503">
        <f>RST!$N$8</f>
        <v>1.6</v>
      </c>
      <c r="V22" s="293"/>
      <c r="W22" s="587" t="s">
        <v>487</v>
      </c>
      <c r="X22" s="503">
        <f>U22</f>
        <v>1.6</v>
      </c>
      <c r="Y22" s="293"/>
      <c r="Z22" s="293"/>
      <c r="AA22" s="293"/>
      <c r="AB22" s="587" t="s">
        <v>487</v>
      </c>
      <c r="AC22" s="503">
        <f>RST!$N$8</f>
        <v>1.6</v>
      </c>
      <c r="AD22" s="293"/>
      <c r="AE22" s="587" t="s">
        <v>487</v>
      </c>
      <c r="AF22" s="503">
        <f>RST!$N$8</f>
        <v>1.6</v>
      </c>
      <c r="AG22" s="293"/>
      <c r="AH22" s="293"/>
      <c r="AI22" s="293"/>
      <c r="AJ22" s="271"/>
      <c r="AK22" s="271"/>
    </row>
    <row r="23" spans="1:37">
      <c r="A23" s="553"/>
      <c r="B23" s="293"/>
      <c r="C23" s="293"/>
      <c r="D23" s="587" t="s">
        <v>491</v>
      </c>
      <c r="E23" s="503">
        <f>(E16*E9/2)/H9</f>
        <v>1.2681679567311652</v>
      </c>
      <c r="F23" s="293"/>
      <c r="G23" s="587" t="s">
        <v>492</v>
      </c>
      <c r="H23" s="503">
        <f>(H16*E10/2)/H10</f>
        <v>0.11477994727024446</v>
      </c>
      <c r="I23" s="293"/>
      <c r="J23" s="293"/>
      <c r="K23" s="293"/>
      <c r="L23" s="832"/>
      <c r="M23" s="832"/>
      <c r="N23" s="293"/>
      <c r="O23" s="587" t="s">
        <v>493</v>
      </c>
      <c r="P23" s="505">
        <f>AXC!I20</f>
        <v>0.51355514688189907</v>
      </c>
      <c r="Q23" s="293"/>
      <c r="R23" s="293"/>
      <c r="S23" s="293"/>
      <c r="T23" s="587" t="s">
        <v>491</v>
      </c>
      <c r="U23" s="503">
        <f>(U16*U9/2)/X9</f>
        <v>0.60260905068381365</v>
      </c>
      <c r="V23" s="293"/>
      <c r="W23" s="587" t="s">
        <v>491</v>
      </c>
      <c r="X23" s="503">
        <f>(X16*U10/2)/X10</f>
        <v>0.48481089727330545</v>
      </c>
      <c r="Y23" s="293"/>
      <c r="Z23" s="490"/>
      <c r="AA23" s="490"/>
      <c r="AB23" s="587" t="s">
        <v>494</v>
      </c>
      <c r="AC23" s="512">
        <f>CMB!$K$188/(AC16*AC17*0.75)</f>
        <v>0.39587749118358212</v>
      </c>
      <c r="AD23" s="293"/>
      <c r="AE23" s="587" t="s">
        <v>494</v>
      </c>
      <c r="AF23" s="512">
        <f>CMB!$K$191/(AC16*AC17*0.75)</f>
        <v>7.9622817435793927E-2</v>
      </c>
      <c r="AG23" s="293"/>
      <c r="AH23" s="293"/>
      <c r="AI23" s="293"/>
      <c r="AJ23" s="271"/>
      <c r="AK23" s="271"/>
    </row>
    <row r="24" spans="1:37" ht="15.75" customHeight="1">
      <c r="A24" s="553"/>
      <c r="B24" s="293"/>
      <c r="C24" s="293"/>
      <c r="D24" s="819" t="str">
        <f>IF(E23&lt;=E22,"ATENDE","NÃO ATENDE")</f>
        <v>ATENDE</v>
      </c>
      <c r="E24" s="819"/>
      <c r="F24" s="293"/>
      <c r="G24" s="819" t="str">
        <f>IF(H23&lt;=H22,"ATENDE","NÃO ATENDE")</f>
        <v>ATENDE</v>
      </c>
      <c r="H24" s="819"/>
      <c r="I24" s="293"/>
      <c r="J24" s="271"/>
      <c r="K24" s="271"/>
      <c r="L24" s="828" t="s">
        <v>367</v>
      </c>
      <c r="M24" s="829"/>
      <c r="N24" s="293"/>
      <c r="O24" s="587" t="s">
        <v>495</v>
      </c>
      <c r="P24" s="505">
        <f>AXC!I19</f>
        <v>0.81041632865788416</v>
      </c>
      <c r="Q24" s="490"/>
      <c r="R24" s="293"/>
      <c r="S24" s="293"/>
      <c r="T24" s="749" t="str">
        <f>IF(U23&lt;=U22,"ATENDE","NÃO ATENDE")</f>
        <v>ATENDE</v>
      </c>
      <c r="U24" s="749"/>
      <c r="V24" s="293"/>
      <c r="W24" s="749" t="str">
        <f>IF(X23&lt;=X22,"ATENDE","NÃO ATENDE")</f>
        <v>ATENDE</v>
      </c>
      <c r="X24" s="749"/>
      <c r="Y24" s="490"/>
      <c r="Z24" s="490"/>
      <c r="AA24" s="490"/>
      <c r="AB24" s="749" t="str">
        <f>IF(AC23&lt;=AC22,"ATENDE","NÃO ATENDE")</f>
        <v>ATENDE</v>
      </c>
      <c r="AC24" s="749"/>
      <c r="AD24" s="293"/>
      <c r="AE24" s="749" t="str">
        <f>IF(AF23&lt;=AF22,"ATENDE","NÃO ATENDE")</f>
        <v>ATENDE</v>
      </c>
      <c r="AF24" s="749"/>
      <c r="AG24" s="293"/>
      <c r="AH24" s="293"/>
      <c r="AI24" s="293"/>
      <c r="AJ24" s="271"/>
      <c r="AK24" s="271"/>
    </row>
    <row r="25" spans="1:37" ht="18.75" customHeight="1">
      <c r="A25" s="553"/>
      <c r="B25" s="293"/>
      <c r="C25" s="293"/>
      <c r="D25" s="744" t="s">
        <v>101</v>
      </c>
      <c r="E25" s="744"/>
      <c r="F25" s="293"/>
      <c r="G25" s="744" t="s">
        <v>101</v>
      </c>
      <c r="H25" s="744"/>
      <c r="I25" s="293"/>
      <c r="J25" s="293"/>
      <c r="K25" s="293"/>
      <c r="L25" s="587" t="s">
        <v>107</v>
      </c>
      <c r="M25" s="510">
        <f>M11/P12</f>
        <v>133.42554103319196</v>
      </c>
      <c r="N25" s="489"/>
      <c r="O25" s="749" t="str">
        <f>IF(P24&lt;=P23,"ATENDE","NÃO ATENDE")</f>
        <v>NÃO ATENDE</v>
      </c>
      <c r="P25" s="749"/>
      <c r="Q25" s="293"/>
      <c r="R25" s="293"/>
      <c r="S25" s="293"/>
      <c r="T25" s="744" t="s">
        <v>101</v>
      </c>
      <c r="U25" s="744"/>
      <c r="V25" s="293"/>
      <c r="W25" s="744" t="s">
        <v>101</v>
      </c>
      <c r="X25" s="744"/>
      <c r="Y25" s="490"/>
      <c r="Z25" s="490"/>
      <c r="AA25" s="490"/>
      <c r="AB25" s="742" t="s">
        <v>119</v>
      </c>
      <c r="AC25" s="742"/>
      <c r="AD25" s="293"/>
      <c r="AE25" s="744" t="s">
        <v>119</v>
      </c>
      <c r="AF25" s="744"/>
      <c r="AG25" s="293"/>
      <c r="AH25" s="293"/>
      <c r="AI25" s="293"/>
      <c r="AJ25" s="271"/>
      <c r="AK25" s="271"/>
    </row>
    <row r="26" spans="1:37">
      <c r="A26" s="553"/>
      <c r="B26" s="293"/>
      <c r="C26" s="293"/>
      <c r="D26" s="587" t="s">
        <v>430</v>
      </c>
      <c r="E26" s="503">
        <f>RST!$N$10</f>
        <v>0.17499999999999999</v>
      </c>
      <c r="F26" s="293"/>
      <c r="G26" s="587" t="s">
        <v>430</v>
      </c>
      <c r="H26" s="503">
        <f>E26</f>
        <v>0.17499999999999999</v>
      </c>
      <c r="I26" s="293"/>
      <c r="J26" s="293"/>
      <c r="K26" s="293"/>
      <c r="L26" s="587" t="s">
        <v>525</v>
      </c>
      <c r="M26" s="510">
        <f>M25/PI()*SQRT(RST!$G$8/RST!$J$8)</f>
        <v>2.2023716516105649</v>
      </c>
      <c r="N26" s="293"/>
      <c r="O26" s="744" t="s">
        <v>137</v>
      </c>
      <c r="P26" s="744"/>
      <c r="Q26" s="490"/>
      <c r="R26" s="293"/>
      <c r="S26" s="293"/>
      <c r="T26" s="587" t="s">
        <v>430</v>
      </c>
      <c r="U26" s="503">
        <f>RST!$N$10</f>
        <v>0.17499999999999999</v>
      </c>
      <c r="V26" s="293"/>
      <c r="W26" s="587" t="s">
        <v>430</v>
      </c>
      <c r="X26" s="503">
        <f>U26</f>
        <v>0.17499999999999999</v>
      </c>
      <c r="Y26" s="490"/>
      <c r="Z26" s="490"/>
      <c r="AA26" s="490"/>
      <c r="AB26" s="587" t="s">
        <v>145</v>
      </c>
      <c r="AC26" s="543">
        <f>CMB!$L$188</f>
        <v>2.95</v>
      </c>
      <c r="AD26" s="293"/>
      <c r="AE26" s="587" t="s">
        <v>145</v>
      </c>
      <c r="AF26" s="543">
        <f>CMB!L191</f>
        <v>0.89</v>
      </c>
      <c r="AG26" s="293"/>
      <c r="AH26" s="293"/>
      <c r="AI26" s="293"/>
      <c r="AJ26" s="271"/>
      <c r="AK26" s="271"/>
    </row>
    <row r="27" spans="1:37">
      <c r="A27" s="553"/>
      <c r="B27" s="293"/>
      <c r="C27" s="293"/>
      <c r="D27" s="587" t="s">
        <v>496</v>
      </c>
      <c r="E27" s="503">
        <f>1.5*E17/(E9*E10)</f>
        <v>8.19856766216032E-3</v>
      </c>
      <c r="F27" s="293"/>
      <c r="G27" s="587" t="s">
        <v>490</v>
      </c>
      <c r="H27" s="503">
        <f>1.5*H17/(E9*E10)</f>
        <v>2.7175027644239257E-2</v>
      </c>
      <c r="I27" s="293"/>
      <c r="J27" s="293"/>
      <c r="K27" s="293"/>
      <c r="L27" s="587" t="s">
        <v>157</v>
      </c>
      <c r="M27" s="510">
        <f>0.5*(1+0.2*(M26-0.3)+M26^2)</f>
        <v>3.1154576110699805</v>
      </c>
      <c r="N27" s="293"/>
      <c r="O27" s="587" t="s">
        <v>497</v>
      </c>
      <c r="P27" s="511">
        <f>0.25*RST!$N$8</f>
        <v>0.4</v>
      </c>
      <c r="Q27" s="293"/>
      <c r="R27" s="293"/>
      <c r="S27" s="293"/>
      <c r="T27" s="587" t="s">
        <v>490</v>
      </c>
      <c r="U27" s="503">
        <f>1.5*U17/(U9*U10)</f>
        <v>1.0242757537077898E-2</v>
      </c>
      <c r="V27" s="293"/>
      <c r="W27" s="587" t="s">
        <v>496</v>
      </c>
      <c r="X27" s="503">
        <f>1.5*X17/(U9*U10)</f>
        <v>3.3950713184696404E-2</v>
      </c>
      <c r="Y27" s="490"/>
      <c r="Z27" s="490"/>
      <c r="AA27" s="490"/>
      <c r="AB27" s="587" t="s">
        <v>523</v>
      </c>
      <c r="AC27" s="516">
        <f>(AC16/100)/(SQRT(12))</f>
        <v>2.8867513459481291E-2</v>
      </c>
      <c r="AD27" s="293"/>
      <c r="AE27" s="587" t="s">
        <v>498</v>
      </c>
      <c r="AF27" s="516">
        <f>AC33</f>
        <v>2.3094010767585032E-2</v>
      </c>
      <c r="AG27" s="293"/>
      <c r="AH27" s="293"/>
      <c r="AI27" s="293"/>
      <c r="AJ27" s="271"/>
      <c r="AK27" s="271"/>
    </row>
    <row r="28" spans="1:37">
      <c r="A28" s="553"/>
      <c r="B28" s="293"/>
      <c r="C28" s="293"/>
      <c r="D28" s="819" t="str">
        <f>IF(E27&lt;=E26,"ATENDE","NÃO ATENDE")</f>
        <v>ATENDE</v>
      </c>
      <c r="E28" s="819"/>
      <c r="F28" s="293"/>
      <c r="G28" s="819" t="str">
        <f>IF(H27&lt;=H26,"ATENDE","NÃO ATENDE")</f>
        <v>ATENDE</v>
      </c>
      <c r="H28" s="819"/>
      <c r="I28" s="293"/>
      <c r="J28" s="293"/>
      <c r="K28" s="293"/>
      <c r="L28" s="587" t="s">
        <v>540</v>
      </c>
      <c r="M28" s="510">
        <f>IF(M26&lt;=0.3,1,1/(M27+SQRT(M27^2-M26^2)))</f>
        <v>0.18800497401741553</v>
      </c>
      <c r="N28" s="293"/>
      <c r="O28" s="587" t="s">
        <v>499</v>
      </c>
      <c r="P28" s="345">
        <f>M13</f>
        <v>0.86464796238788333</v>
      </c>
      <c r="Q28" s="293"/>
      <c r="R28" s="293"/>
      <c r="S28" s="293"/>
      <c r="T28" s="749" t="str">
        <f>IF(U27&lt;=U26,"ATENDE","NÃO ATENDE")</f>
        <v>ATENDE</v>
      </c>
      <c r="U28" s="749"/>
      <c r="V28" s="293"/>
      <c r="W28" s="749" t="str">
        <f>IF(X27&lt;=X26,"ATENDE","NÃO ATENDE")</f>
        <v>ATENDE</v>
      </c>
      <c r="X28" s="749"/>
      <c r="Y28" s="490"/>
      <c r="Z28" s="490"/>
      <c r="AA28" s="490"/>
      <c r="AB28" s="587" t="s">
        <v>500</v>
      </c>
      <c r="AC28" s="510">
        <f>AC26/VRF!AC27</f>
        <v>102.19099764656376</v>
      </c>
      <c r="AD28" s="293"/>
      <c r="AE28" s="587" t="s">
        <v>500</v>
      </c>
      <c r="AF28" s="510">
        <f>AF26/VRF!AF27</f>
        <v>38.538130468407516</v>
      </c>
      <c r="AG28" s="293"/>
      <c r="AH28" s="293"/>
      <c r="AI28" s="293"/>
      <c r="AJ28" s="271"/>
      <c r="AK28" s="271"/>
    </row>
    <row r="29" spans="1:37">
      <c r="A29" s="553"/>
      <c r="B29" s="293"/>
      <c r="C29" s="293"/>
      <c r="D29" s="309"/>
      <c r="E29" s="309"/>
      <c r="F29" s="293"/>
      <c r="G29" s="309"/>
      <c r="H29" s="309"/>
      <c r="I29" s="293"/>
      <c r="J29" s="293"/>
      <c r="K29" s="293"/>
      <c r="L29" s="587" t="s">
        <v>487</v>
      </c>
      <c r="M29" s="503">
        <f>RST!$N$8</f>
        <v>1.6</v>
      </c>
      <c r="N29" s="293"/>
      <c r="O29" s="587" t="s">
        <v>501</v>
      </c>
      <c r="P29" s="505">
        <f>DSB!F25</f>
        <v>4</v>
      </c>
      <c r="Q29" s="293"/>
      <c r="R29" s="293"/>
      <c r="S29" s="293"/>
      <c r="T29" s="289"/>
      <c r="U29" s="289"/>
      <c r="V29" s="293"/>
      <c r="W29" s="289"/>
      <c r="X29" s="289"/>
      <c r="Y29" s="490"/>
      <c r="Z29" s="490"/>
      <c r="AA29" s="490"/>
      <c r="AB29" s="749" t="str">
        <f>AXC!AF34</f>
        <v>ATENDE</v>
      </c>
      <c r="AC29" s="749"/>
      <c r="AD29" s="293"/>
      <c r="AE29" s="749" t="str">
        <f>AXC!AF37</f>
        <v>ATENDE</v>
      </c>
      <c r="AF29" s="749"/>
      <c r="AG29" s="293"/>
      <c r="AH29" s="293"/>
      <c r="AI29" s="293"/>
      <c r="AJ29" s="271"/>
      <c r="AK29" s="271"/>
    </row>
    <row r="30" spans="1:37">
      <c r="A30" s="553"/>
      <c r="B30" s="744" t="s">
        <v>102</v>
      </c>
      <c r="C30" s="744"/>
      <c r="D30" s="744"/>
      <c r="E30" s="744"/>
      <c r="F30" s="293"/>
      <c r="G30" s="744" t="s">
        <v>102</v>
      </c>
      <c r="H30" s="744"/>
      <c r="I30" s="744"/>
      <c r="J30" s="744"/>
      <c r="K30" s="293"/>
      <c r="L30" s="592" t="s">
        <v>541</v>
      </c>
      <c r="M30" s="503">
        <f>M15/(M28*M12)</f>
        <v>0.1156263263337903</v>
      </c>
      <c r="N30" s="293"/>
      <c r="O30" s="587" t="s">
        <v>502</v>
      </c>
      <c r="P30" s="505">
        <f>DSB!I25/2</f>
        <v>3</v>
      </c>
      <c r="Q30" s="293"/>
      <c r="R30" s="293"/>
      <c r="S30" s="744" t="s">
        <v>102</v>
      </c>
      <c r="T30" s="744"/>
      <c r="U30" s="744"/>
      <c r="V30" s="293"/>
      <c r="W30" s="744" t="s">
        <v>102</v>
      </c>
      <c r="X30" s="744"/>
      <c r="Y30" s="744"/>
      <c r="Z30" s="490"/>
      <c r="AA30" s="490"/>
      <c r="AB30" s="744" t="s">
        <v>196</v>
      </c>
      <c r="AC30" s="744"/>
      <c r="AD30" s="293"/>
      <c r="AE30" s="289"/>
      <c r="AF30" s="494"/>
      <c r="AG30" s="293"/>
      <c r="AH30" s="293"/>
      <c r="AI30" s="293"/>
      <c r="AJ30" s="271"/>
      <c r="AK30" s="271"/>
    </row>
    <row r="31" spans="1:37">
      <c r="A31" s="553"/>
      <c r="B31" s="545"/>
      <c r="C31" s="411" t="s">
        <v>341</v>
      </c>
      <c r="D31" s="748" t="s">
        <v>339</v>
      </c>
      <c r="E31" s="748"/>
      <c r="F31" s="293"/>
      <c r="G31" s="545"/>
      <c r="H31" s="328" t="s">
        <v>339</v>
      </c>
      <c r="I31" s="748" t="s">
        <v>341</v>
      </c>
      <c r="J31" s="748"/>
      <c r="K31" s="293"/>
      <c r="L31" s="819" t="str">
        <f>IF(M30&lt;=M29,"ATENDE","NÃO ATENDE")</f>
        <v>ATENDE</v>
      </c>
      <c r="M31" s="819"/>
      <c r="N31" s="293"/>
      <c r="O31" s="587" t="s">
        <v>504</v>
      </c>
      <c r="P31" s="511">
        <f>P28/(VRF!P29*VRF!P30)</f>
        <v>7.2053996865656944E-2</v>
      </c>
      <c r="Q31" s="489"/>
      <c r="R31" s="271"/>
      <c r="S31" s="545"/>
      <c r="T31" s="411" t="s">
        <v>341</v>
      </c>
      <c r="U31" s="328" t="s">
        <v>339</v>
      </c>
      <c r="V31" s="271"/>
      <c r="W31" s="545"/>
      <c r="X31" s="411" t="s">
        <v>341</v>
      </c>
      <c r="Y31" s="328" t="s">
        <v>339</v>
      </c>
      <c r="Z31" s="490"/>
      <c r="AA31" s="490"/>
      <c r="AB31" s="826" t="s">
        <v>120</v>
      </c>
      <c r="AC31" s="826"/>
      <c r="AD31" s="293"/>
      <c r="AE31" s="269"/>
      <c r="AF31" s="269"/>
      <c r="AG31" s="293"/>
      <c r="AH31" s="293"/>
      <c r="AI31" s="293"/>
      <c r="AJ31" s="271"/>
      <c r="AK31" s="271"/>
    </row>
    <row r="32" spans="1:37">
      <c r="A32" s="553"/>
      <c r="B32" s="590" t="s">
        <v>493</v>
      </c>
      <c r="C32" s="523">
        <f>E18/150</f>
        <v>0.46666666666666667</v>
      </c>
      <c r="D32" s="504"/>
      <c r="E32" s="522">
        <f>(E18)/300</f>
        <v>0.23333333333333334</v>
      </c>
      <c r="F32" s="490"/>
      <c r="G32" s="590" t="s">
        <v>493</v>
      </c>
      <c r="H32" s="581">
        <f>E32</f>
        <v>0.23333333333333334</v>
      </c>
      <c r="I32" s="824">
        <f>C32</f>
        <v>0.46666666666666667</v>
      </c>
      <c r="J32" s="824"/>
      <c r="K32" s="293"/>
      <c r="L32" s="264"/>
      <c r="M32" s="264"/>
      <c r="N32" s="293"/>
      <c r="O32" s="749" t="str">
        <f>IF(P31&lt;=P27,"ATENDE","NÃO ATENDE")</f>
        <v>ATENDE</v>
      </c>
      <c r="P32" s="749"/>
      <c r="Q32" s="496"/>
      <c r="R32" s="271"/>
      <c r="S32" s="590" t="s">
        <v>493</v>
      </c>
      <c r="T32" s="520">
        <f>U18/150</f>
        <v>1.6666666666666667</v>
      </c>
      <c r="U32" s="514">
        <f>(U18)/300</f>
        <v>0.83333333333333337</v>
      </c>
      <c r="V32" s="271"/>
      <c r="W32" s="590" t="s">
        <v>493</v>
      </c>
      <c r="X32" s="526">
        <f>X18/150</f>
        <v>1.6666666666666667</v>
      </c>
      <c r="Y32" s="505">
        <f>U32</f>
        <v>0.83333333333333337</v>
      </c>
      <c r="Z32" s="293"/>
      <c r="AA32" s="293"/>
      <c r="AB32" s="587" t="s">
        <v>145</v>
      </c>
      <c r="AC32" s="543">
        <f>AXA!C10</f>
        <v>5.9</v>
      </c>
      <c r="AD32" s="293"/>
      <c r="AE32" s="293"/>
      <c r="AF32" s="293"/>
      <c r="AG32" s="293"/>
      <c r="AH32" s="293"/>
      <c r="AI32" s="293"/>
      <c r="AJ32" s="271"/>
      <c r="AK32" s="271"/>
    </row>
    <row r="33" spans="1:37" ht="19.8">
      <c r="A33" s="553"/>
      <c r="B33" s="591" t="s">
        <v>503</v>
      </c>
      <c r="C33" s="524">
        <f>(5/384)*((VRF!E20/100)*(VRF!E18^4))/(RST!$N$12*VRF!H9)</f>
        <v>0.43965908295350326</v>
      </c>
      <c r="D33" s="504"/>
      <c r="E33" s="522">
        <f>(5/384)*((VRF!E19/100)*(VRF!E18^4))/(RST!$N$12*VRF!H9)</f>
        <v>0.3544961336576592</v>
      </c>
      <c r="F33" s="497"/>
      <c r="G33" s="591" t="s">
        <v>526</v>
      </c>
      <c r="H33" s="581">
        <f>(5/384)*((VRF!H19/100)*(VRF!H18^4))/(RST!$N$12*VRF!H10)</f>
        <v>9.6254712901622068E-3</v>
      </c>
      <c r="I33" s="824">
        <f>(5/384)*((VRF!H20/100)*(VRF!H18^4))/(RST!$N$12*VRF!H10)</f>
        <v>1.193786187951716E-2</v>
      </c>
      <c r="J33" s="824"/>
      <c r="K33" s="293"/>
      <c r="L33" s="264"/>
      <c r="M33" s="264"/>
      <c r="N33" s="293"/>
      <c r="O33" s="744" t="s">
        <v>146</v>
      </c>
      <c r="P33" s="744"/>
      <c r="Q33" s="496"/>
      <c r="R33" s="271"/>
      <c r="S33" s="591" t="s">
        <v>505</v>
      </c>
      <c r="T33" s="538">
        <f>AXC!V15</f>
        <v>0.52513626477930819</v>
      </c>
      <c r="U33" s="514">
        <f>AXC!V9</f>
        <v>0.46263734596154443</v>
      </c>
      <c r="V33" s="271"/>
      <c r="W33" s="591" t="s">
        <v>495</v>
      </c>
      <c r="X33" s="537">
        <f>AXC!W15</f>
        <v>0.24477471611465296</v>
      </c>
      <c r="Y33" s="505">
        <f>AXC!W9</f>
        <v>0.21564293425700495</v>
      </c>
      <c r="Z33" s="293"/>
      <c r="AA33" s="293"/>
      <c r="AB33" s="587" t="s">
        <v>498</v>
      </c>
      <c r="AC33" s="505">
        <f>(AC17/100)/(SQRT(12))</f>
        <v>2.3094010767585032E-2</v>
      </c>
      <c r="AD33" s="293"/>
      <c r="AE33" s="293"/>
      <c r="AF33" s="293"/>
      <c r="AG33" s="293"/>
      <c r="AH33" s="293"/>
      <c r="AI33" s="293"/>
      <c r="AJ33" s="271"/>
      <c r="AK33" s="271"/>
    </row>
    <row r="34" spans="1:37">
      <c r="A34" s="553"/>
      <c r="B34" s="591" t="s">
        <v>377</v>
      </c>
      <c r="C34" s="525" t="str">
        <f>IF(C33&lt;=C32,"ATENDE","NÃO ATENDE")</f>
        <v>ATENDE</v>
      </c>
      <c r="D34" s="825" t="str">
        <f>IF(E33&lt;=E32,"ATENDE","NÃO ATENDE")</f>
        <v>NÃO ATENDE</v>
      </c>
      <c r="E34" s="819"/>
      <c r="F34" s="293"/>
      <c r="G34" s="591" t="s">
        <v>377</v>
      </c>
      <c r="H34" s="359" t="str">
        <f>IF(H33&lt;=H32,"ATENDE","NÃO ATENDE")</f>
        <v>ATENDE</v>
      </c>
      <c r="I34" s="819" t="str">
        <f>IF(I33&lt;=I32,"ATENDE","NÃO ATENDE")</f>
        <v>ATENDE</v>
      </c>
      <c r="J34" s="819"/>
      <c r="K34" s="293"/>
      <c r="L34" s="271"/>
      <c r="M34" s="271"/>
      <c r="N34" s="293"/>
      <c r="O34" s="587" t="s">
        <v>144</v>
      </c>
      <c r="P34" s="510">
        <f>M9/M10</f>
        <v>1.5</v>
      </c>
      <c r="Q34" s="293"/>
      <c r="R34" s="293"/>
      <c r="S34" s="749" t="str">
        <f>IF(AND(U33&lt;=U32,T33&lt;=T32),"ATENDE","NÃO ATENDE")</f>
        <v>ATENDE</v>
      </c>
      <c r="T34" s="749"/>
      <c r="U34" s="749"/>
      <c r="V34" s="293"/>
      <c r="W34" s="749" t="str">
        <f>IF(AND(Y33&lt;=Y32,X33&lt;=X32),"ATENDE","NÃO ATENDE")</f>
        <v>ATENDE</v>
      </c>
      <c r="X34" s="749"/>
      <c r="Y34" s="749"/>
      <c r="Z34" s="293"/>
      <c r="AA34" s="293"/>
      <c r="AB34" s="587" t="s">
        <v>506</v>
      </c>
      <c r="AC34" s="510">
        <f>AC32/VRF!AC33</f>
        <v>255.47749411640939</v>
      </c>
      <c r="AD34" s="293"/>
      <c r="AE34" s="293"/>
      <c r="AF34" s="293"/>
      <c r="AG34" s="293"/>
      <c r="AH34" s="293"/>
      <c r="AI34" s="293"/>
      <c r="AJ34" s="271"/>
      <c r="AK34" s="271"/>
    </row>
    <row r="35" spans="1:37">
      <c r="A35" s="553"/>
      <c r="B35" s="489"/>
      <c r="C35" s="497"/>
      <c r="D35" s="293"/>
      <c r="E35" s="293"/>
      <c r="F35" s="293"/>
      <c r="G35" s="293"/>
      <c r="H35" s="293"/>
      <c r="I35" s="293"/>
      <c r="J35" s="293"/>
      <c r="K35" s="293"/>
      <c r="L35" s="271"/>
      <c r="M35" s="271"/>
      <c r="N35" s="293"/>
      <c r="O35" s="587" t="s">
        <v>507</v>
      </c>
      <c r="P35" s="510">
        <f>IF(P34&lt;1,"-",(4/1.4)*(1/(0.25*PI()))*((P34^(3/2))/(SQRT(P34-0.63))))</f>
        <v>7.1650518340762019</v>
      </c>
      <c r="Q35" s="293"/>
      <c r="R35" s="293"/>
      <c r="S35" s="293"/>
      <c r="T35" s="293"/>
      <c r="U35" s="293"/>
      <c r="V35" s="293"/>
      <c r="W35" s="293"/>
      <c r="X35" s="293"/>
      <c r="Y35" s="293"/>
      <c r="Z35" s="293"/>
      <c r="AA35" s="293"/>
      <c r="AB35" s="587" t="s">
        <v>508</v>
      </c>
      <c r="AC35" s="510">
        <f>AXC!Z29</f>
        <v>127.73874705820469</v>
      </c>
      <c r="AD35" s="293"/>
      <c r="AE35" s="293"/>
      <c r="AF35" s="293"/>
      <c r="AG35" s="293"/>
      <c r="AH35" s="293"/>
      <c r="AI35" s="293"/>
      <c r="AJ35" s="271"/>
      <c r="AK35" s="271"/>
    </row>
    <row r="36" spans="1:37" ht="19.2">
      <c r="A36" s="553"/>
      <c r="B36" s="293"/>
      <c r="C36" s="293"/>
      <c r="D36" s="271"/>
      <c r="E36" s="271"/>
      <c r="F36" s="271"/>
      <c r="G36" s="271"/>
      <c r="H36" s="271"/>
      <c r="I36" s="293"/>
      <c r="J36" s="293"/>
      <c r="K36" s="293"/>
      <c r="L36" s="828" t="s">
        <v>370</v>
      </c>
      <c r="M36" s="829"/>
      <c r="N36" s="293"/>
      <c r="O36" s="587" t="s">
        <v>143</v>
      </c>
      <c r="P36" s="510">
        <f>M11/M10</f>
        <v>38.516636016142428</v>
      </c>
      <c r="Q36" s="293"/>
      <c r="R36" s="293"/>
      <c r="S36" s="293"/>
      <c r="T36" s="745" t="s">
        <v>104</v>
      </c>
      <c r="U36" s="745"/>
      <c r="V36" s="745"/>
      <c r="W36" s="745"/>
      <c r="X36" s="745"/>
      <c r="Y36" s="293"/>
      <c r="Z36" s="293"/>
      <c r="AA36" s="293"/>
      <c r="AB36" s="749" t="str">
        <f>AXC!AF30</f>
        <v>ATENDE</v>
      </c>
      <c r="AC36" s="749"/>
      <c r="AD36" s="293"/>
      <c r="AE36" s="293"/>
      <c r="AF36" s="293"/>
      <c r="AG36" s="293"/>
      <c r="AH36" s="293"/>
      <c r="AI36" s="293"/>
      <c r="AJ36" s="271"/>
      <c r="AK36" s="271"/>
    </row>
    <row r="37" spans="1:37">
      <c r="A37" s="553"/>
      <c r="B37" s="293"/>
      <c r="C37" s="293"/>
      <c r="D37" s="744" t="s">
        <v>104</v>
      </c>
      <c r="E37" s="744"/>
      <c r="F37" s="744"/>
      <c r="G37" s="744"/>
      <c r="H37" s="744"/>
      <c r="I37" s="293"/>
      <c r="J37" s="271"/>
      <c r="K37" s="271"/>
      <c r="L37" s="587" t="s">
        <v>117</v>
      </c>
      <c r="M37" s="510">
        <f>(M30/M29)^2+M20/M19</f>
        <v>1.3526399104040374</v>
      </c>
      <c r="N37" s="293"/>
      <c r="O37" s="587" t="s">
        <v>509</v>
      </c>
      <c r="P37" s="512">
        <f>IF(P34&lt;1,"-",(RST!N11)/(VRF!P35*VRF!P36))</f>
        <v>4.3120051943321966</v>
      </c>
      <c r="Q37" s="293"/>
      <c r="R37" s="293"/>
      <c r="S37" s="293"/>
      <c r="T37" s="371"/>
      <c r="U37" s="539"/>
      <c r="V37" s="540"/>
      <c r="W37" s="540"/>
      <c r="X37" s="540"/>
      <c r="Y37" s="293"/>
      <c r="Z37" s="293"/>
      <c r="AA37" s="293"/>
      <c r="AB37" s="840" t="str">
        <f>AXC!Z30</f>
        <v>1 contenção(ões) ao longo do banzo inferior, além de 2 nas extremidades</v>
      </c>
      <c r="AC37" s="840"/>
      <c r="AD37" s="293"/>
      <c r="AE37" s="293"/>
      <c r="AF37" s="293"/>
      <c r="AG37" s="293"/>
      <c r="AH37" s="293"/>
      <c r="AI37" s="293"/>
      <c r="AJ37" s="271"/>
      <c r="AK37" s="271"/>
    </row>
    <row r="38" spans="1:37" ht="15.75" customHeight="1">
      <c r="A38" s="553"/>
      <c r="B38" s="293"/>
      <c r="C38" s="293"/>
      <c r="D38" s="323"/>
      <c r="E38" s="506">
        <f>E23</f>
        <v>1.2681679567311652</v>
      </c>
      <c r="F38" s="507">
        <f>H23</f>
        <v>0.11477994727024446</v>
      </c>
      <c r="G38" s="838">
        <f>(E23/E22)+0.7*(H23/H22)</f>
        <v>0.84282119988771009</v>
      </c>
      <c r="H38" s="827" t="str">
        <f>IF(G38&lt;=1,"ATENDE ≤ 1","NÃO ATENDE &gt; 1")</f>
        <v>ATENDE ≤ 1</v>
      </c>
      <c r="I38" s="293"/>
      <c r="J38" s="293"/>
      <c r="K38" s="293"/>
      <c r="L38" s="827" t="str">
        <f>IF(M37&lt;=1,"ATENDE ≤ 1","NÃO ATENDE &gt; 1")</f>
        <v>NÃO ATENDE &gt; 1</v>
      </c>
      <c r="M38" s="827"/>
      <c r="N38" s="293"/>
      <c r="O38" s="587" t="s">
        <v>510</v>
      </c>
      <c r="P38" s="512">
        <f>(M14*M9/2)/P9+AXC!C11</f>
        <v>2.1776062765361681</v>
      </c>
      <c r="Q38" s="293"/>
      <c r="R38" s="293"/>
      <c r="S38" s="293"/>
      <c r="T38" s="323"/>
      <c r="U38" s="506">
        <f>U23</f>
        <v>0.60260905068381365</v>
      </c>
      <c r="V38" s="507">
        <f>X23</f>
        <v>0.48481089727330545</v>
      </c>
      <c r="W38" s="838">
        <f>(U23/U22)+0.7*(X23/X22)</f>
        <v>0.58873542423445457</v>
      </c>
      <c r="X38" s="827" t="str">
        <f>IF(W38&lt;=1,"ATENDE ≤1","NÃO ATENDE &gt; 1")</f>
        <v>ATENDE ≤1</v>
      </c>
      <c r="Y38" s="293"/>
      <c r="Z38" s="293"/>
      <c r="AA38" s="293"/>
      <c r="AB38" s="840"/>
      <c r="AC38" s="840"/>
      <c r="AD38" s="293"/>
      <c r="AE38" s="293"/>
      <c r="AF38" s="293"/>
      <c r="AG38" s="293"/>
      <c r="AH38" s="293"/>
      <c r="AI38" s="293"/>
      <c r="AJ38" s="271"/>
      <c r="AK38" s="271"/>
    </row>
    <row r="39" spans="1:37" ht="15" customHeight="1">
      <c r="A39" s="553"/>
      <c r="B39" s="293"/>
      <c r="C39" s="293"/>
      <c r="D39" s="336"/>
      <c r="E39" s="506">
        <f>E22</f>
        <v>1.6</v>
      </c>
      <c r="F39" s="507">
        <f>H22</f>
        <v>1.6</v>
      </c>
      <c r="G39" s="838"/>
      <c r="H39" s="827"/>
      <c r="I39" s="293"/>
      <c r="J39" s="293"/>
      <c r="K39" s="293"/>
      <c r="L39" s="499"/>
      <c r="M39" s="494"/>
      <c r="N39" s="293"/>
      <c r="O39" s="839" t="str">
        <f>IF(P34&lt;1,"ATENDE-Verificação desnecessária",(IF(P38&lt;=P37,"ATENDE","NÃO ATENDE")))</f>
        <v>ATENDE</v>
      </c>
      <c r="P39" s="839"/>
      <c r="Q39" s="293"/>
      <c r="R39" s="293"/>
      <c r="S39" s="293"/>
      <c r="T39" s="336"/>
      <c r="U39" s="506">
        <f>U22</f>
        <v>1.6</v>
      </c>
      <c r="V39" s="507">
        <f>X22</f>
        <v>1.6</v>
      </c>
      <c r="W39" s="838"/>
      <c r="X39" s="827"/>
      <c r="Y39" s="293"/>
      <c r="Z39" s="293"/>
      <c r="AA39" s="293"/>
      <c r="AB39" s="840"/>
      <c r="AC39" s="840"/>
      <c r="AD39" s="293"/>
      <c r="AE39" s="293"/>
      <c r="AF39" s="293"/>
      <c r="AG39" s="293"/>
      <c r="AH39" s="293"/>
      <c r="AI39" s="293"/>
      <c r="AJ39" s="271"/>
      <c r="AK39" s="271"/>
    </row>
    <row r="40" spans="1:37" ht="16.5" customHeight="1">
      <c r="A40" s="553"/>
      <c r="B40" s="293"/>
      <c r="C40" s="293"/>
      <c r="D40" s="336"/>
      <c r="E40" s="336"/>
      <c r="F40" s="336"/>
      <c r="G40" s="336"/>
      <c r="H40" s="336"/>
      <c r="I40" s="293"/>
      <c r="J40" s="293"/>
      <c r="K40" s="293"/>
      <c r="L40" s="289"/>
      <c r="M40" s="493"/>
      <c r="N40" s="293"/>
      <c r="O40" s="269"/>
      <c r="P40" s="269"/>
      <c r="Q40" s="293"/>
      <c r="R40" s="293"/>
      <c r="S40" s="293"/>
      <c r="T40" s="336"/>
      <c r="U40" s="336"/>
      <c r="V40" s="336"/>
      <c r="W40" s="336"/>
      <c r="X40" s="336"/>
      <c r="Y40" s="293"/>
      <c r="Z40" s="293"/>
      <c r="AA40" s="293"/>
      <c r="AB40" s="546"/>
      <c r="AC40" s="546"/>
      <c r="AD40" s="293"/>
      <c r="AE40" s="293"/>
      <c r="AF40" s="293"/>
      <c r="AG40" s="293"/>
      <c r="AH40" s="293"/>
      <c r="AI40" s="293"/>
      <c r="AJ40" s="271"/>
      <c r="AK40" s="271"/>
    </row>
    <row r="41" spans="1:37" ht="16.5" customHeight="1">
      <c r="A41" s="553"/>
      <c r="B41" s="293"/>
      <c r="C41" s="293"/>
      <c r="D41" s="323"/>
      <c r="E41" s="503"/>
      <c r="F41" s="336"/>
      <c r="G41" s="336"/>
      <c r="H41" s="336"/>
      <c r="I41" s="293"/>
      <c r="J41" s="293"/>
      <c r="K41" s="293"/>
      <c r="L41" s="495"/>
      <c r="M41" s="493"/>
      <c r="N41" s="293"/>
      <c r="O41" s="269"/>
      <c r="P41" s="269"/>
      <c r="Q41" s="293"/>
      <c r="R41" s="293"/>
      <c r="S41" s="293"/>
      <c r="T41" s="323"/>
      <c r="U41" s="503"/>
      <c r="V41" s="336"/>
      <c r="W41" s="336"/>
      <c r="X41" s="336"/>
      <c r="Y41" s="293"/>
      <c r="Z41" s="293"/>
      <c r="AA41" s="293"/>
      <c r="AB41" s="546"/>
      <c r="AC41" s="546"/>
      <c r="AD41" s="293"/>
      <c r="AE41" s="293"/>
      <c r="AF41" s="293"/>
      <c r="AG41" s="293"/>
      <c r="AH41" s="293"/>
      <c r="AI41" s="293"/>
      <c r="AJ41" s="271"/>
      <c r="AK41" s="271"/>
    </row>
    <row r="42" spans="1:37">
      <c r="A42" s="553"/>
      <c r="B42" s="293"/>
      <c r="C42" s="293"/>
      <c r="D42" s="323"/>
      <c r="E42" s="506">
        <f>E23</f>
        <v>1.2681679567311652</v>
      </c>
      <c r="F42" s="507">
        <f>H23</f>
        <v>0.11477994727024446</v>
      </c>
      <c r="G42" s="838">
        <f>0.7*(E23/E22)+(H23/H22)</f>
        <v>0.62656094811378749</v>
      </c>
      <c r="H42" s="827" t="str">
        <f>IF(G42&lt;=1,"ATENDE ≤1","NÃO ATENDE &gt; 1")</f>
        <v>ATENDE ≤1</v>
      </c>
      <c r="I42" s="293"/>
      <c r="J42" s="293"/>
      <c r="K42" s="293"/>
      <c r="L42" s="498"/>
      <c r="M42" s="498"/>
      <c r="N42" s="293"/>
      <c r="O42" s="271"/>
      <c r="P42" s="271"/>
      <c r="Q42" s="293"/>
      <c r="R42" s="293"/>
      <c r="S42" s="293"/>
      <c r="T42" s="323"/>
      <c r="U42" s="506">
        <f>U23</f>
        <v>0.60260905068381365</v>
      </c>
      <c r="V42" s="507">
        <f>X23</f>
        <v>0.48481089727330545</v>
      </c>
      <c r="W42" s="838">
        <f>0.7*(U23/U22)+(X23/X22)</f>
        <v>0.56664827046998423</v>
      </c>
      <c r="X42" s="827" t="str">
        <f>IF(W42&lt;=1,"ATENDE ≤1","NÃO ATENDE &gt; 1")</f>
        <v>ATENDE ≤1</v>
      </c>
      <c r="Y42" s="293"/>
      <c r="Z42" s="293"/>
      <c r="AA42" s="293"/>
      <c r="AB42" s="293"/>
      <c r="AC42" s="293"/>
      <c r="AD42" s="293"/>
      <c r="AE42" s="293"/>
      <c r="AF42" s="293"/>
      <c r="AG42" s="293"/>
      <c r="AH42" s="293"/>
      <c r="AI42" s="293"/>
      <c r="AJ42" s="271"/>
      <c r="AK42" s="271"/>
    </row>
    <row r="43" spans="1:37">
      <c r="A43" s="553"/>
      <c r="B43" s="293"/>
      <c r="C43" s="293"/>
      <c r="D43" s="336"/>
      <c r="E43" s="506">
        <f>E22</f>
        <v>1.6</v>
      </c>
      <c r="F43" s="507">
        <f>H22</f>
        <v>1.6</v>
      </c>
      <c r="G43" s="838"/>
      <c r="H43" s="827"/>
      <c r="I43" s="293"/>
      <c r="J43" s="293"/>
      <c r="K43" s="293"/>
      <c r="L43" s="293"/>
      <c r="M43" s="293"/>
      <c r="N43" s="293"/>
      <c r="O43" s="271"/>
      <c r="P43" s="271"/>
      <c r="Q43" s="293"/>
      <c r="R43" s="293"/>
      <c r="S43" s="293"/>
      <c r="T43" s="336"/>
      <c r="U43" s="506">
        <f>U22</f>
        <v>1.6</v>
      </c>
      <c r="V43" s="507">
        <f>X22</f>
        <v>1.6</v>
      </c>
      <c r="W43" s="838"/>
      <c r="X43" s="827"/>
      <c r="Y43" s="293"/>
      <c r="Z43" s="293"/>
      <c r="AA43" s="293"/>
      <c r="AB43" s="293"/>
      <c r="AC43" s="293"/>
      <c r="AD43" s="293"/>
      <c r="AE43" s="293"/>
      <c r="AF43" s="293"/>
      <c r="AG43" s="293"/>
      <c r="AH43" s="293"/>
      <c r="AI43" s="293"/>
      <c r="AJ43" s="271"/>
      <c r="AK43" s="271"/>
    </row>
    <row r="44" spans="1:37" ht="18" customHeight="1">
      <c r="A44" s="553"/>
      <c r="B44" s="293"/>
      <c r="C44" s="293"/>
      <c r="D44" s="413"/>
      <c r="E44" s="413"/>
      <c r="F44" s="413"/>
      <c r="G44" s="413"/>
      <c r="H44" s="413"/>
      <c r="I44" s="293"/>
      <c r="J44" s="293"/>
      <c r="K44" s="293"/>
      <c r="L44" s="293"/>
      <c r="M44" s="293"/>
      <c r="N44" s="293"/>
      <c r="O44" s="271"/>
      <c r="P44" s="271"/>
      <c r="Q44" s="293"/>
      <c r="R44" s="293"/>
      <c r="S44" s="293"/>
      <c r="T44" s="293"/>
      <c r="U44" s="293"/>
      <c r="V44" s="293"/>
      <c r="W44" s="293"/>
      <c r="X44" s="293"/>
      <c r="Y44" s="293"/>
      <c r="Z44" s="293"/>
      <c r="AA44" s="293"/>
      <c r="AB44" s="293"/>
      <c r="AC44" s="293"/>
      <c r="AD44" s="293"/>
      <c r="AE44" s="293"/>
      <c r="AF44" s="293"/>
      <c r="AG44" s="293"/>
      <c r="AH44" s="293"/>
      <c r="AI44" s="293"/>
      <c r="AJ44" s="271"/>
      <c r="AK44" s="271"/>
    </row>
    <row r="45" spans="1:37">
      <c r="A45" s="553"/>
      <c r="B45" s="293"/>
      <c r="C45" s="293"/>
      <c r="D45" s="759" t="s">
        <v>101</v>
      </c>
      <c r="E45" s="760"/>
      <c r="F45" s="531"/>
      <c r="G45" s="759" t="s">
        <v>102</v>
      </c>
      <c r="H45" s="759"/>
      <c r="I45" s="289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744" t="s">
        <v>101</v>
      </c>
      <c r="U45" s="744"/>
      <c r="V45" s="293"/>
      <c r="W45" s="749" t="s">
        <v>326</v>
      </c>
      <c r="X45" s="750"/>
      <c r="Y45" s="749" t="s">
        <v>173</v>
      </c>
      <c r="Z45" s="749"/>
      <c r="AA45" s="293"/>
      <c r="AB45" s="793" t="s">
        <v>166</v>
      </c>
      <c r="AC45" s="793"/>
      <c r="AD45" s="793"/>
      <c r="AE45" s="793"/>
      <c r="AF45" s="793"/>
      <c r="AG45" s="293"/>
      <c r="AH45" s="293"/>
      <c r="AI45" s="293"/>
      <c r="AJ45" s="271"/>
      <c r="AK45" s="271"/>
    </row>
    <row r="46" spans="1:37">
      <c r="A46" s="553"/>
      <c r="B46" s="293"/>
      <c r="C46" s="490"/>
      <c r="D46" s="587" t="s">
        <v>430</v>
      </c>
      <c r="E46" s="530">
        <f>RST!$N$10</f>
        <v>0.17499999999999999</v>
      </c>
      <c r="F46" s="531"/>
      <c r="G46" s="756" t="s">
        <v>335</v>
      </c>
      <c r="H46" s="756"/>
      <c r="I46" s="271"/>
      <c r="J46" s="293"/>
      <c r="K46" s="293"/>
      <c r="L46" s="500"/>
      <c r="M46" s="293"/>
      <c r="N46" s="293"/>
      <c r="O46" s="293"/>
      <c r="P46" s="293"/>
      <c r="Q46" s="293"/>
      <c r="R46" s="293"/>
      <c r="S46" s="293"/>
      <c r="T46" s="587" t="s">
        <v>430</v>
      </c>
      <c r="U46" s="503">
        <f>RST!$N$10</f>
        <v>0.17499999999999999</v>
      </c>
      <c r="V46" s="293"/>
      <c r="W46" s="588" t="s">
        <v>493</v>
      </c>
      <c r="X46" s="593">
        <f>AXC!V19</f>
        <v>0.83333333333333337</v>
      </c>
      <c r="Y46" s="371" t="s">
        <v>493</v>
      </c>
      <c r="Z46" s="542">
        <f>AXC!W19</f>
        <v>0.83333333333333337</v>
      </c>
      <c r="AA46" s="293"/>
      <c r="AB46" s="293"/>
      <c r="AC46" s="293"/>
      <c r="AD46" s="293"/>
      <c r="AE46" s="293"/>
      <c r="AF46" s="293"/>
      <c r="AG46" s="293"/>
      <c r="AH46" s="293"/>
      <c r="AI46" s="293"/>
      <c r="AJ46" s="271"/>
      <c r="AK46" s="271"/>
    </row>
    <row r="47" spans="1:37">
      <c r="A47" s="553"/>
      <c r="B47" s="293"/>
      <c r="C47" s="490"/>
      <c r="D47" s="587" t="s">
        <v>511</v>
      </c>
      <c r="E47" s="530">
        <f>MAX(E27,H27)</f>
        <v>2.7175027644239257E-2</v>
      </c>
      <c r="F47" s="531"/>
      <c r="G47" s="587" t="s">
        <v>493</v>
      </c>
      <c r="H47" s="509">
        <f>E32</f>
        <v>0.23333333333333334</v>
      </c>
      <c r="I47" s="271"/>
      <c r="J47" s="293"/>
      <c r="K47" s="293"/>
      <c r="L47" s="293"/>
      <c r="M47" s="293"/>
      <c r="N47" s="293"/>
      <c r="O47" s="293"/>
      <c r="P47" s="293"/>
      <c r="Q47" s="293"/>
      <c r="R47" s="293"/>
      <c r="S47" s="293"/>
      <c r="T47" s="587" t="s">
        <v>511</v>
      </c>
      <c r="U47" s="503">
        <f>MAX(U27,X27)</f>
        <v>3.3950713184696404E-2</v>
      </c>
      <c r="V47" s="293"/>
      <c r="W47" s="587" t="s">
        <v>105</v>
      </c>
      <c r="X47" s="526">
        <f>AXC!V18</f>
        <v>0.46263734596154443</v>
      </c>
      <c r="Y47" s="323" t="s">
        <v>105</v>
      </c>
      <c r="Z47" s="508">
        <f>AXC!W18</f>
        <v>0.21564293425700495</v>
      </c>
      <c r="AA47" s="293"/>
      <c r="AB47" s="744" t="s">
        <v>285</v>
      </c>
      <c r="AC47" s="744"/>
      <c r="AD47" s="293"/>
      <c r="AE47" s="744" t="s">
        <v>284</v>
      </c>
      <c r="AF47" s="744"/>
      <c r="AG47" s="293"/>
      <c r="AH47" s="293"/>
      <c r="AI47" s="293"/>
      <c r="AJ47" s="271"/>
      <c r="AK47" s="271"/>
    </row>
    <row r="48" spans="1:37">
      <c r="A48" s="553"/>
      <c r="B48" s="293"/>
      <c r="C48" s="293"/>
      <c r="D48" s="819" t="str">
        <f>IF(E47&lt;=E46,"ATENDE","NÃO ATENDE")</f>
        <v>ATENDE</v>
      </c>
      <c r="E48" s="811"/>
      <c r="F48" s="531"/>
      <c r="G48" s="589" t="s">
        <v>105</v>
      </c>
      <c r="H48" s="527">
        <f>MAX(E33,H33)</f>
        <v>0.3544961336576592</v>
      </c>
      <c r="I48" s="271"/>
      <c r="J48" s="271"/>
      <c r="K48" s="293"/>
      <c r="L48" s="293"/>
      <c r="M48" s="293"/>
      <c r="N48" s="293"/>
      <c r="O48" s="293"/>
      <c r="P48" s="293"/>
      <c r="Q48" s="293"/>
      <c r="R48" s="293"/>
      <c r="S48" s="293"/>
      <c r="T48" s="749" t="str">
        <f>IF(U47&lt;=U46,"ATENDE","NÃO ATENDE")</f>
        <v>ATENDE</v>
      </c>
      <c r="U48" s="749"/>
      <c r="V48" s="293"/>
      <c r="W48" s="748" t="str">
        <f>IF(X47&lt;=X46,"ATENDE","NÃO ATENDE")</f>
        <v>ATENDE</v>
      </c>
      <c r="X48" s="790"/>
      <c r="Y48" s="748" t="str">
        <f>IF(Z47&lt;=Z46,"ATENDE","NÃO ATENDE")</f>
        <v>ATENDE</v>
      </c>
      <c r="Z48" s="748"/>
      <c r="AA48" s="293"/>
      <c r="AB48" s="587" t="s">
        <v>512</v>
      </c>
      <c r="AC48" s="345">
        <f>CMB!$K$183</f>
        <v>24.81009231441627</v>
      </c>
      <c r="AD48" s="293"/>
      <c r="AE48" s="587" t="s">
        <v>512</v>
      </c>
      <c r="AF48" s="345">
        <f>CMB!$K$186</f>
        <v>8.27003077147209</v>
      </c>
      <c r="AG48" s="293"/>
      <c r="AH48" s="293"/>
      <c r="AI48" s="293"/>
      <c r="AJ48" s="271"/>
      <c r="AK48" s="271"/>
    </row>
    <row r="49" spans="1:37">
      <c r="A49" s="553"/>
      <c r="B49" s="293"/>
      <c r="C49" s="293"/>
      <c r="D49" s="759" t="s">
        <v>137</v>
      </c>
      <c r="E49" s="760"/>
      <c r="F49" s="367"/>
      <c r="G49" s="756" t="s">
        <v>336</v>
      </c>
      <c r="H49" s="756"/>
      <c r="I49" s="271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336"/>
      <c r="U49" s="336"/>
      <c r="V49" s="293"/>
      <c r="W49" s="756" t="s">
        <v>342</v>
      </c>
      <c r="X49" s="756"/>
      <c r="Y49" s="756"/>
      <c r="Z49" s="756"/>
      <c r="AA49" s="293"/>
      <c r="AB49" s="587" t="s">
        <v>145</v>
      </c>
      <c r="AC49" s="516">
        <f>CMB!$L$183</f>
        <v>1.5406654406456972</v>
      </c>
      <c r="AD49" s="293"/>
      <c r="AE49" s="587" t="s">
        <v>145</v>
      </c>
      <c r="AF49" s="516">
        <f>CMB!$L$186</f>
        <v>1.5406654406456972</v>
      </c>
      <c r="AG49" s="293"/>
      <c r="AH49" s="293"/>
      <c r="AI49" s="293"/>
      <c r="AJ49" s="271"/>
      <c r="AK49" s="271"/>
    </row>
    <row r="50" spans="1:37">
      <c r="A50" s="553"/>
      <c r="B50" s="293"/>
      <c r="C50" s="293"/>
      <c r="D50" s="587" t="s">
        <v>497</v>
      </c>
      <c r="E50" s="528">
        <f>0.25*RST!$N$8</f>
        <v>0.4</v>
      </c>
      <c r="F50" s="531"/>
      <c r="G50" s="587" t="s">
        <v>493</v>
      </c>
      <c r="H50" s="509">
        <f>C32</f>
        <v>0.46666666666666667</v>
      </c>
      <c r="I50" s="293"/>
      <c r="J50" s="293"/>
      <c r="K50" s="293"/>
      <c r="L50" s="293"/>
      <c r="M50" s="293"/>
      <c r="N50" s="293"/>
      <c r="O50" s="293"/>
      <c r="P50" s="293"/>
      <c r="Q50" s="293"/>
      <c r="R50" s="293"/>
      <c r="S50" s="293"/>
      <c r="T50" s="837" t="s">
        <v>277</v>
      </c>
      <c r="U50" s="837"/>
      <c r="V50" s="293"/>
      <c r="W50" s="281"/>
      <c r="X50" s="580" t="s">
        <v>493</v>
      </c>
      <c r="Y50" s="505">
        <f>IF(Y51=X47,X46,Z46)</f>
        <v>0.83333333333333337</v>
      </c>
      <c r="Z50" s="504"/>
      <c r="AA50" s="293"/>
      <c r="AB50" s="587" t="s">
        <v>108</v>
      </c>
      <c r="AC50" s="505">
        <f>AC17/SQRT(12)</f>
        <v>2.3094010767585034</v>
      </c>
      <c r="AD50" s="293"/>
      <c r="AE50" s="587" t="s">
        <v>108</v>
      </c>
      <c r="AF50" s="505">
        <f>AC17/SQRT(12)</f>
        <v>2.3094010767585034</v>
      </c>
      <c r="AG50" s="293"/>
      <c r="AH50" s="293"/>
      <c r="AI50" s="293"/>
      <c r="AJ50" s="271"/>
      <c r="AK50" s="271"/>
    </row>
    <row r="51" spans="1:37">
      <c r="A51" s="553"/>
      <c r="B51" s="293"/>
      <c r="C51" s="293"/>
      <c r="D51" s="587" t="s">
        <v>499</v>
      </c>
      <c r="E51" s="401">
        <f>H17</f>
        <v>0.13587513822119629</v>
      </c>
      <c r="F51" s="531"/>
      <c r="G51" s="589" t="s">
        <v>105</v>
      </c>
      <c r="H51" s="527">
        <f>MAX(C33,I33)</f>
        <v>0.43965908295350326</v>
      </c>
      <c r="I51" s="293"/>
      <c r="J51" s="293"/>
      <c r="K51" s="293"/>
      <c r="L51" s="293"/>
      <c r="M51" s="293"/>
      <c r="N51" s="293"/>
      <c r="O51" s="293"/>
      <c r="P51" s="293"/>
      <c r="Q51" s="293"/>
      <c r="R51" s="293"/>
      <c r="S51" s="293"/>
      <c r="T51" s="587" t="s">
        <v>497</v>
      </c>
      <c r="U51" s="503">
        <f>0.25*RST!$N$8</f>
        <v>0.4</v>
      </c>
      <c r="V51" s="293"/>
      <c r="W51" s="281"/>
      <c r="X51" s="580" t="s">
        <v>105</v>
      </c>
      <c r="Y51" s="505">
        <f>IF((X47/X46)&gt;=(Z47/Z46),X47,Z47)</f>
        <v>0.46263734596154443</v>
      </c>
      <c r="Z51" s="336"/>
      <c r="AA51" s="293"/>
      <c r="AB51" s="587" t="s">
        <v>107</v>
      </c>
      <c r="AC51" s="510">
        <f>AC49*100/AC50</f>
        <v>66.712770516595981</v>
      </c>
      <c r="AD51" s="293"/>
      <c r="AE51" s="587" t="s">
        <v>107</v>
      </c>
      <c r="AF51" s="510">
        <f>AF49*100/AF50</f>
        <v>66.712770516595981</v>
      </c>
      <c r="AG51" s="293"/>
      <c r="AH51" s="293"/>
      <c r="AI51" s="293"/>
      <c r="AJ51" s="271"/>
      <c r="AK51" s="271"/>
    </row>
    <row r="52" spans="1:37">
      <c r="A52" s="553"/>
      <c r="B52" s="293"/>
      <c r="C52" s="293"/>
      <c r="D52" s="587" t="s">
        <v>513</v>
      </c>
      <c r="E52" s="526">
        <f>DSB!C25</f>
        <v>5</v>
      </c>
      <c r="F52" s="531"/>
      <c r="G52" s="756" t="s">
        <v>337</v>
      </c>
      <c r="H52" s="756"/>
      <c r="I52" s="293"/>
      <c r="J52" s="293"/>
      <c r="K52" s="293"/>
      <c r="L52" s="293"/>
      <c r="M52" s="293"/>
      <c r="N52" s="293"/>
      <c r="O52" s="293"/>
      <c r="P52" s="293"/>
      <c r="Q52" s="293"/>
      <c r="R52" s="293"/>
      <c r="S52" s="293"/>
      <c r="T52" s="587" t="s">
        <v>499</v>
      </c>
      <c r="U52" s="345">
        <f>CMB!K137</f>
        <v>0.65553648237298545</v>
      </c>
      <c r="V52" s="293"/>
      <c r="W52" s="749" t="str">
        <f>IF(Y51&lt;=Y50,"ATENDE","NÃO ATENDE")</f>
        <v>ATENDE</v>
      </c>
      <c r="X52" s="749"/>
      <c r="Y52" s="749"/>
      <c r="Z52" s="749"/>
      <c r="AA52" s="271"/>
      <c r="AB52" s="587" t="s">
        <v>525</v>
      </c>
      <c r="AC52" s="510">
        <f>AC51/PI()*SQRT(RST!$G$8/RST!$J$8)</f>
        <v>1.1011858258052825</v>
      </c>
      <c r="AD52" s="293"/>
      <c r="AE52" s="587" t="s">
        <v>525</v>
      </c>
      <c r="AF52" s="510">
        <f>AF51/PI()*SQRT(RST!$G$8/RST!$J$8)</f>
        <v>1.1011858258052825</v>
      </c>
      <c r="AG52" s="271"/>
      <c r="AH52" s="271"/>
      <c r="AI52" s="293"/>
      <c r="AJ52" s="271"/>
      <c r="AK52" s="271"/>
    </row>
    <row r="53" spans="1:37">
      <c r="A53" s="553"/>
      <c r="B53" s="293"/>
      <c r="C53" s="293"/>
      <c r="D53" s="587" t="s">
        <v>515</v>
      </c>
      <c r="E53" s="526">
        <f>DSB!F25/2</f>
        <v>2</v>
      </c>
      <c r="F53" s="531"/>
      <c r="G53" s="587" t="s">
        <v>493</v>
      </c>
      <c r="H53" s="509">
        <f>IF(H54=H48,H47,H50)</f>
        <v>0.23333333333333334</v>
      </c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587" t="s">
        <v>514</v>
      </c>
      <c r="U53" s="502">
        <f>DSB!I27</f>
        <v>16</v>
      </c>
      <c r="V53" s="293"/>
      <c r="W53" s="271"/>
      <c r="X53" s="271"/>
      <c r="Y53" s="293"/>
      <c r="Z53" s="293"/>
      <c r="AA53" s="490"/>
      <c r="AB53" s="587" t="s">
        <v>157</v>
      </c>
      <c r="AC53" s="510">
        <f>0.5*(1+0.2*(AC52-0.3)+AC52^2)</f>
        <v>1.1864236940577593</v>
      </c>
      <c r="AD53" s="293"/>
      <c r="AE53" s="587" t="s">
        <v>157</v>
      </c>
      <c r="AF53" s="510">
        <f>0.5*(1+0.2*(AF52-0.3)+AF52^2)</f>
        <v>1.1864236940577593</v>
      </c>
      <c r="AG53" s="293"/>
      <c r="AH53" s="293"/>
      <c r="AI53" s="293"/>
      <c r="AJ53" s="271"/>
      <c r="AK53" s="271"/>
    </row>
    <row r="54" spans="1:37">
      <c r="A54" s="553"/>
      <c r="B54" s="293"/>
      <c r="C54" s="293"/>
      <c r="D54" s="587" t="s">
        <v>504</v>
      </c>
      <c r="E54" s="529">
        <f>E51/(VRF!E52*VRF!E53)</f>
        <v>1.3587513822119628E-2</v>
      </c>
      <c r="F54" s="531"/>
      <c r="G54" s="587" t="s">
        <v>105</v>
      </c>
      <c r="H54" s="509">
        <f>IF((H48/H47)&gt;=(H51/H50),H48,H51)</f>
        <v>0.3544961336576592</v>
      </c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93"/>
      <c r="T54" s="587" t="s">
        <v>516</v>
      </c>
      <c r="U54" s="502">
        <f>DSB!C32/2</f>
        <v>4</v>
      </c>
      <c r="V54" s="293"/>
      <c r="W54" s="271"/>
      <c r="X54" s="271"/>
      <c r="Y54" s="293"/>
      <c r="Z54" s="293"/>
      <c r="AA54" s="293"/>
      <c r="AB54" s="587" t="s">
        <v>540</v>
      </c>
      <c r="AC54" s="510">
        <f>IF(AC52&lt;=0.3,1,1/(AC53+SQRT(AC53^2-AC52^2)))</f>
        <v>0.61425004822430562</v>
      </c>
      <c r="AD54" s="293"/>
      <c r="AE54" s="587" t="s">
        <v>540</v>
      </c>
      <c r="AF54" s="510">
        <f>IF(AF52&lt;=0.3,1,1/(AF53+SQRT(AF53^2-AF52^2)))</f>
        <v>0.61425004822430562</v>
      </c>
      <c r="AG54" s="293"/>
      <c r="AH54" s="293"/>
      <c r="AI54" s="293"/>
      <c r="AJ54" s="271"/>
      <c r="AK54" s="271"/>
    </row>
    <row r="55" spans="1:37">
      <c r="A55" s="553"/>
      <c r="B55" s="293"/>
      <c r="C55" s="293"/>
      <c r="D55" s="839" t="str">
        <f>IF(E54&lt;=E50,"ATENDE","NÃO ATENDE")</f>
        <v>ATENDE</v>
      </c>
      <c r="E55" s="841"/>
      <c r="F55" s="336"/>
      <c r="G55" s="819" t="str">
        <f>IF(AND(H48&lt;=H47,H51&lt;=H50),"ATENDE","NÃO ATENDE")</f>
        <v>NÃO ATENDE</v>
      </c>
      <c r="H55" s="819"/>
      <c r="I55" s="293"/>
      <c r="J55" s="293"/>
      <c r="K55" s="293"/>
      <c r="L55" s="293"/>
      <c r="M55" s="293"/>
      <c r="N55" s="293"/>
      <c r="O55" s="293"/>
      <c r="P55" s="293"/>
      <c r="Q55" s="293"/>
      <c r="R55" s="293"/>
      <c r="S55" s="293"/>
      <c r="T55" s="587" t="s">
        <v>504</v>
      </c>
      <c r="U55" s="503">
        <f>U52/(U53*U54)</f>
        <v>1.0242757537077898E-2</v>
      </c>
      <c r="V55" s="293"/>
      <c r="W55" s="837" t="s">
        <v>278</v>
      </c>
      <c r="X55" s="837"/>
      <c r="Y55" s="293"/>
      <c r="Z55" s="271"/>
      <c r="AA55" s="271"/>
      <c r="AB55" s="587" t="s">
        <v>487</v>
      </c>
      <c r="AC55" s="503">
        <f>RST!$N$8</f>
        <v>1.6</v>
      </c>
      <c r="AD55" s="293"/>
      <c r="AE55" s="587" t="s">
        <v>487</v>
      </c>
      <c r="AF55" s="503">
        <f>RST!$N$8</f>
        <v>1.6</v>
      </c>
      <c r="AG55" s="293"/>
      <c r="AH55" s="293"/>
      <c r="AI55" s="293"/>
      <c r="AJ55" s="271"/>
      <c r="AK55" s="271"/>
    </row>
    <row r="56" spans="1:37" ht="18" customHeight="1">
      <c r="A56" s="553"/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293"/>
      <c r="O56" s="293"/>
      <c r="P56" s="293"/>
      <c r="Q56" s="293"/>
      <c r="R56" s="293"/>
      <c r="S56" s="293"/>
      <c r="T56" s="749" t="str">
        <f>IF(U55&lt;=U51,"ATENDE","NÃO ATENDE")</f>
        <v>ATENDE</v>
      </c>
      <c r="U56" s="749"/>
      <c r="V56" s="293"/>
      <c r="W56" s="587" t="s">
        <v>497</v>
      </c>
      <c r="X56" s="503">
        <f>0.25*RST!$N$8</f>
        <v>0.4</v>
      </c>
      <c r="Y56" s="293"/>
      <c r="Z56" s="293"/>
      <c r="AA56" s="293"/>
      <c r="AB56" s="592" t="s">
        <v>541</v>
      </c>
      <c r="AC56" s="503">
        <f>AC48/(AC54*AC16*AC17)</f>
        <v>0.50488584384604662</v>
      </c>
      <c r="AD56" s="293"/>
      <c r="AE56" s="592" t="s">
        <v>541</v>
      </c>
      <c r="AF56" s="503">
        <f>AF48/(AF54*AC16*AC17)</f>
        <v>0.16829528128201554</v>
      </c>
      <c r="AG56" s="293"/>
      <c r="AH56" s="293"/>
      <c r="AI56" s="293"/>
      <c r="AJ56" s="271"/>
      <c r="AK56" s="271"/>
    </row>
    <row r="57" spans="1:37">
      <c r="A57" s="553"/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587" t="s">
        <v>499</v>
      </c>
      <c r="X57" s="345">
        <f>CMB!M137</f>
        <v>2.1728456438205699</v>
      </c>
      <c r="Y57" s="293"/>
      <c r="Z57" s="293"/>
      <c r="AA57" s="293"/>
      <c r="AB57" s="749" t="str">
        <f>IF(AC56&lt;=AC55,"ATENDE","NÃO ATENDE")</f>
        <v>ATENDE</v>
      </c>
      <c r="AC57" s="749"/>
      <c r="AD57" s="293"/>
      <c r="AE57" s="749" t="str">
        <f>IF(AF56&lt;=AF55,"ATENDE","NÃO ATENDE")</f>
        <v>ATENDE</v>
      </c>
      <c r="AF57" s="749"/>
      <c r="AG57" s="293"/>
      <c r="AH57" s="293"/>
      <c r="AI57" s="293"/>
      <c r="AJ57" s="271"/>
      <c r="AK57" s="271"/>
    </row>
    <row r="58" spans="1:37">
      <c r="A58" s="553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3"/>
      <c r="O58" s="293"/>
      <c r="P58" s="293"/>
      <c r="Q58" s="293"/>
      <c r="R58" s="293"/>
      <c r="S58" s="293"/>
      <c r="T58" s="745" t="s">
        <v>146</v>
      </c>
      <c r="U58" s="745"/>
      <c r="V58" s="293"/>
      <c r="W58" s="587" t="s">
        <v>517</v>
      </c>
      <c r="X58" s="502">
        <f>DSB!I25</f>
        <v>6</v>
      </c>
      <c r="Y58" s="293"/>
      <c r="Z58" s="293"/>
      <c r="AA58" s="293"/>
      <c r="AB58" s="742" t="s">
        <v>119</v>
      </c>
      <c r="AC58" s="742"/>
      <c r="AD58" s="293"/>
      <c r="AE58" s="744" t="s">
        <v>119</v>
      </c>
      <c r="AF58" s="744"/>
      <c r="AG58" s="293"/>
      <c r="AH58" s="293"/>
      <c r="AI58" s="293"/>
      <c r="AJ58" s="271"/>
      <c r="AK58" s="271"/>
    </row>
    <row r="59" spans="1:37">
      <c r="A59" s="553"/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588" t="s">
        <v>144</v>
      </c>
      <c r="U59" s="541">
        <f>U9/U10</f>
        <v>2.6666666666666665</v>
      </c>
      <c r="V59" s="293"/>
      <c r="W59" s="587" t="s">
        <v>516</v>
      </c>
      <c r="X59" s="502">
        <f>DSB!C32/2</f>
        <v>4</v>
      </c>
      <c r="Y59" s="293"/>
      <c r="Z59" s="293"/>
      <c r="AA59" s="293"/>
      <c r="AB59" s="587" t="s">
        <v>500</v>
      </c>
      <c r="AC59" s="510">
        <f>AC49/AC27</f>
        <v>53.370216413276793</v>
      </c>
      <c r="AD59" s="293"/>
      <c r="AE59" s="587" t="s">
        <v>500</v>
      </c>
      <c r="AF59" s="510">
        <f>AF49/AC27</f>
        <v>53.370216413276793</v>
      </c>
      <c r="AG59" s="293"/>
      <c r="AH59" s="293"/>
      <c r="AI59" s="293"/>
      <c r="AJ59" s="271"/>
      <c r="AK59" s="271"/>
    </row>
    <row r="60" spans="1:37">
      <c r="A60" s="553"/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93"/>
      <c r="T60" s="587" t="s">
        <v>507</v>
      </c>
      <c r="U60" s="510">
        <f>IF(U59&lt;1,"-",(4/1.4)*(4/(PI()))*((U59^(3/2))/(SQRT(U59-0.63))))</f>
        <v>11.100312233080905</v>
      </c>
      <c r="V60" s="293"/>
      <c r="W60" s="587" t="s">
        <v>504</v>
      </c>
      <c r="X60" s="503">
        <f>X57/(X58*X59)</f>
        <v>9.0535235159190416E-2</v>
      </c>
      <c r="Y60" s="293"/>
      <c r="Z60" s="293"/>
      <c r="AA60" s="293"/>
      <c r="AB60" s="749" t="str">
        <f>IF(AC59&lt;=140,"ATENDE","NÃO ATENDE")</f>
        <v>ATENDE</v>
      </c>
      <c r="AC60" s="749"/>
      <c r="AD60" s="293"/>
      <c r="AE60" s="749" t="str">
        <f>IF(AF59&lt;=140,"ATENDE","NÃO ATENDE")</f>
        <v>ATENDE</v>
      </c>
      <c r="AF60" s="749"/>
      <c r="AG60" s="293"/>
      <c r="AH60" s="293"/>
      <c r="AI60" s="293"/>
      <c r="AJ60" s="271"/>
      <c r="AK60" s="271"/>
    </row>
    <row r="61" spans="1:37">
      <c r="A61" s="553"/>
      <c r="B61" s="293"/>
      <c r="C61" s="293"/>
      <c r="D61" s="293"/>
      <c r="E61" s="293"/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93"/>
      <c r="Q61" s="293"/>
      <c r="R61" s="293"/>
      <c r="S61" s="293"/>
      <c r="T61" s="587" t="s">
        <v>143</v>
      </c>
      <c r="U61" s="510">
        <f>U18/U10</f>
        <v>41.666666666666664</v>
      </c>
      <c r="V61" s="293"/>
      <c r="W61" s="749" t="str">
        <f>IF(X60&lt;=X56,"ATENDE","NÃO ATENDE")</f>
        <v>ATENDE</v>
      </c>
      <c r="X61" s="749"/>
      <c r="Y61" s="293"/>
      <c r="Z61" s="293"/>
      <c r="AA61" s="293"/>
      <c r="AB61" s="744" t="s">
        <v>371</v>
      </c>
      <c r="AC61" s="744"/>
      <c r="AD61" s="293"/>
      <c r="AE61" s="271"/>
      <c r="AF61" s="494"/>
      <c r="AG61" s="293"/>
      <c r="AH61" s="293"/>
      <c r="AI61" s="293"/>
      <c r="AJ61" s="271"/>
      <c r="AK61" s="271"/>
    </row>
    <row r="62" spans="1:37">
      <c r="A62" s="553"/>
      <c r="B62" s="293"/>
      <c r="C62" s="293"/>
      <c r="D62" s="293"/>
      <c r="E62" s="293"/>
      <c r="F62" s="490"/>
      <c r="G62" s="490"/>
      <c r="H62" s="490"/>
      <c r="I62" s="490"/>
      <c r="J62" s="490"/>
      <c r="K62" s="293"/>
      <c r="L62" s="293"/>
      <c r="M62" s="293"/>
      <c r="N62" s="293"/>
      <c r="O62" s="293"/>
      <c r="P62" s="293"/>
      <c r="Q62" s="293"/>
      <c r="R62" s="293"/>
      <c r="S62" s="293"/>
      <c r="T62" s="587" t="s">
        <v>509</v>
      </c>
      <c r="U62" s="510">
        <f>IF(U59&lt;1,"-",(RST!$N$11)/(U60*U61))</f>
        <v>2.5729005995782823</v>
      </c>
      <c r="V62" s="293"/>
      <c r="W62" s="271"/>
      <c r="X62" s="271"/>
      <c r="Y62" s="293"/>
      <c r="Z62" s="293"/>
      <c r="AA62" s="293"/>
      <c r="AB62" s="826" t="s">
        <v>120</v>
      </c>
      <c r="AC62" s="826"/>
      <c r="AD62" s="293"/>
      <c r="AE62" s="776"/>
      <c r="AF62" s="776"/>
      <c r="AG62" s="293"/>
      <c r="AH62" s="293"/>
      <c r="AI62" s="293"/>
      <c r="AJ62" s="271"/>
      <c r="AK62" s="271"/>
    </row>
    <row r="63" spans="1:37">
      <c r="A63" s="553"/>
      <c r="B63" s="293"/>
      <c r="C63" s="293"/>
      <c r="D63" s="293"/>
      <c r="E63" s="293"/>
      <c r="F63" s="490"/>
      <c r="G63" s="490"/>
      <c r="H63" s="490"/>
      <c r="I63" s="490"/>
      <c r="J63" s="490"/>
      <c r="K63" s="293"/>
      <c r="L63" s="293"/>
      <c r="M63" s="293"/>
      <c r="N63" s="293"/>
      <c r="O63" s="293"/>
      <c r="P63" s="293"/>
      <c r="Q63" s="293"/>
      <c r="R63" s="293"/>
      <c r="S63" s="293"/>
      <c r="T63" s="587" t="s">
        <v>518</v>
      </c>
      <c r="U63" s="510">
        <f>(U16*U9/2)/X9+(X16*U10/2)/X10</f>
        <v>1.0874199479571192</v>
      </c>
      <c r="V63" s="579" t="s">
        <v>323</v>
      </c>
      <c r="W63" s="271"/>
      <c r="X63" s="271"/>
      <c r="Y63" s="293"/>
      <c r="Z63" s="293"/>
      <c r="AA63" s="293"/>
      <c r="AB63" s="587" t="s">
        <v>145</v>
      </c>
      <c r="AC63" s="543">
        <f>AXA!C15</f>
        <v>3.0813308812913944</v>
      </c>
      <c r="AD63" s="293"/>
      <c r="AE63" s="293"/>
      <c r="AF63" s="293"/>
      <c r="AG63" s="293"/>
      <c r="AH63" s="293"/>
      <c r="AI63" s="293"/>
      <c r="AJ63" s="271"/>
      <c r="AK63" s="271"/>
    </row>
    <row r="64" spans="1:37">
      <c r="A64" s="553"/>
      <c r="B64" s="293"/>
      <c r="C64" s="293"/>
      <c r="D64" s="293"/>
      <c r="E64" s="293"/>
      <c r="F64" s="490"/>
      <c r="G64" s="490"/>
      <c r="H64" s="490"/>
      <c r="I64" s="490"/>
      <c r="J64" s="490"/>
      <c r="K64" s="293"/>
      <c r="L64" s="293"/>
      <c r="M64" s="293"/>
      <c r="N64" s="293"/>
      <c r="O64" s="293"/>
      <c r="P64" s="293"/>
      <c r="Q64" s="293"/>
      <c r="R64" s="293"/>
      <c r="S64" s="293"/>
      <c r="T64" s="749" t="str">
        <f>IF(U59&lt;1,"ATENDE-Verificação desnecessária",(IF(U63&lt;=U62,"ATENDE","NÃO ATENDE")))</f>
        <v>ATENDE</v>
      </c>
      <c r="U64" s="749"/>
      <c r="V64" s="293"/>
      <c r="W64" s="271"/>
      <c r="X64" s="271"/>
      <c r="Y64" s="293"/>
      <c r="Z64" s="293"/>
      <c r="AA64" s="293"/>
      <c r="AB64" s="587" t="s">
        <v>498</v>
      </c>
      <c r="AC64" s="516">
        <f>(AC17/100)/(SQRT(12))</f>
        <v>2.3094010767585032E-2</v>
      </c>
      <c r="AD64" s="293"/>
      <c r="AE64" s="293"/>
      <c r="AF64" s="293"/>
      <c r="AG64" s="293"/>
      <c r="AH64" s="293"/>
      <c r="AI64" s="293"/>
      <c r="AJ64" s="271"/>
      <c r="AK64" s="271"/>
    </row>
    <row r="65" spans="1:37">
      <c r="A65" s="553"/>
      <c r="B65" s="293"/>
      <c r="C65" s="293"/>
      <c r="D65" s="293"/>
      <c r="E65" s="293"/>
      <c r="F65" s="490"/>
      <c r="G65" s="490"/>
      <c r="H65" s="490"/>
      <c r="I65" s="490"/>
      <c r="J65" s="490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  <c r="X65" s="293"/>
      <c r="Y65" s="293"/>
      <c r="Z65" s="293"/>
      <c r="AA65" s="293"/>
      <c r="AB65" s="587" t="s">
        <v>506</v>
      </c>
      <c r="AC65" s="510">
        <f>AC63/AC64</f>
        <v>133.42554103319199</v>
      </c>
      <c r="AD65" s="293"/>
      <c r="AE65" s="293"/>
      <c r="AF65" s="293"/>
      <c r="AG65" s="293"/>
      <c r="AH65" s="293"/>
      <c r="AI65" s="293"/>
      <c r="AJ65" s="271"/>
      <c r="AK65" s="271"/>
    </row>
    <row r="66" spans="1:37">
      <c r="A66" s="553"/>
      <c r="B66" s="293"/>
      <c r="C66" s="293"/>
      <c r="D66" s="293"/>
      <c r="E66" s="293"/>
      <c r="F66" s="490"/>
      <c r="G66" s="490"/>
      <c r="H66" s="490"/>
      <c r="I66" s="490"/>
      <c r="J66" s="490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93"/>
      <c r="AA66" s="293"/>
      <c r="AB66" s="587" t="s">
        <v>508</v>
      </c>
      <c r="AC66" s="510">
        <f>AXC!Z41</f>
        <v>66.712770516595995</v>
      </c>
      <c r="AD66" s="293"/>
      <c r="AE66" s="293"/>
      <c r="AF66" s="293"/>
      <c r="AG66" s="293"/>
      <c r="AH66" s="293"/>
      <c r="AI66" s="293"/>
      <c r="AJ66" s="271"/>
      <c r="AK66" s="271"/>
    </row>
    <row r="67" spans="1:37">
      <c r="A67" s="553"/>
      <c r="B67" s="293"/>
      <c r="C67" s="293"/>
      <c r="D67" s="293"/>
      <c r="E67" s="293"/>
      <c r="F67" s="490"/>
      <c r="G67" s="490"/>
      <c r="H67" s="490"/>
      <c r="I67" s="490"/>
      <c r="J67" s="490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3"/>
      <c r="V67" s="293"/>
      <c r="W67" s="293"/>
      <c r="X67" s="293"/>
      <c r="Y67" s="293"/>
      <c r="Z67" s="293"/>
      <c r="AA67" s="293"/>
      <c r="AB67" s="749" t="str">
        <f>IF(AC66&lt;=140,"ATENDE","NÃO ATENDE")</f>
        <v>ATENDE</v>
      </c>
      <c r="AC67" s="749"/>
      <c r="AD67" s="293"/>
      <c r="AE67" s="293"/>
      <c r="AF67" s="293"/>
      <c r="AG67" s="293"/>
      <c r="AH67" s="293"/>
      <c r="AI67" s="293"/>
      <c r="AJ67" s="271"/>
      <c r="AK67" s="271"/>
    </row>
    <row r="68" spans="1:37" ht="15.75" customHeight="1">
      <c r="A68" s="553"/>
      <c r="B68" s="293"/>
      <c r="C68" s="293"/>
      <c r="D68" s="293"/>
      <c r="E68" s="293"/>
      <c r="F68" s="490"/>
      <c r="G68" s="490"/>
      <c r="H68" s="490"/>
      <c r="I68" s="490"/>
      <c r="J68" s="490"/>
      <c r="K68" s="293"/>
      <c r="L68" s="293"/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818" t="str">
        <f>AXC!Z42</f>
        <v>1 contenção(ões) ao longo do banzo superior além de 2 nas extremidades</v>
      </c>
      <c r="AC68" s="818"/>
      <c r="AD68" s="293"/>
      <c r="AE68" s="293"/>
      <c r="AF68" s="293"/>
      <c r="AG68" s="293"/>
      <c r="AH68" s="293"/>
      <c r="AI68" s="293"/>
      <c r="AJ68" s="271"/>
      <c r="AK68" s="271"/>
    </row>
    <row r="69" spans="1:37" ht="15.75" customHeight="1">
      <c r="A69" s="553"/>
      <c r="B69" s="271"/>
      <c r="C69" s="271"/>
      <c r="D69" s="271"/>
      <c r="E69" s="271"/>
      <c r="F69" s="490"/>
      <c r="G69" s="490"/>
      <c r="H69" s="490"/>
      <c r="I69" s="490"/>
      <c r="J69" s="490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93"/>
      <c r="AA69" s="293"/>
      <c r="AB69" s="818"/>
      <c r="AC69" s="818"/>
      <c r="AD69" s="293"/>
      <c r="AE69" s="293"/>
      <c r="AF69" s="293"/>
      <c r="AG69" s="271"/>
      <c r="AH69" s="271"/>
      <c r="AI69" s="271"/>
      <c r="AJ69" s="271"/>
      <c r="AK69" s="271"/>
    </row>
    <row r="70" spans="1:37" ht="15" customHeight="1">
      <c r="A70" s="553"/>
      <c r="B70" s="271"/>
      <c r="C70" s="271"/>
      <c r="D70" s="271"/>
      <c r="E70" s="271"/>
      <c r="F70" s="490"/>
      <c r="G70" s="490"/>
      <c r="H70" s="490"/>
      <c r="I70" s="490"/>
      <c r="J70" s="490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93"/>
      <c r="AA70" s="293"/>
      <c r="AB70" s="818"/>
      <c r="AC70" s="818"/>
      <c r="AD70" s="293"/>
      <c r="AE70" s="293"/>
      <c r="AF70" s="293"/>
      <c r="AG70" s="271"/>
      <c r="AH70" s="271"/>
      <c r="AI70" s="271"/>
      <c r="AJ70" s="271"/>
      <c r="AK70" s="271"/>
    </row>
    <row r="71" spans="1:37" ht="15" customHeight="1">
      <c r="A71" s="553"/>
      <c r="B71" s="271"/>
      <c r="C71" s="271"/>
      <c r="D71" s="271"/>
      <c r="E71" s="271"/>
      <c r="F71" s="490"/>
      <c r="G71" s="490"/>
      <c r="H71" s="490"/>
      <c r="I71" s="490"/>
      <c r="J71" s="490"/>
      <c r="K71" s="271"/>
      <c r="L71" s="271"/>
      <c r="M71" s="271"/>
      <c r="N71" s="271"/>
      <c r="O71" s="271"/>
      <c r="P71" s="271"/>
      <c r="Q71" s="271"/>
      <c r="R71" s="271"/>
      <c r="S71" s="271"/>
      <c r="T71" s="271"/>
      <c r="U71" s="271"/>
      <c r="V71" s="271"/>
      <c r="W71" s="271"/>
      <c r="X71" s="271"/>
      <c r="Y71" s="271"/>
      <c r="Z71" s="293"/>
      <c r="AA71" s="293"/>
      <c r="AB71" s="271"/>
      <c r="AC71" s="271"/>
      <c r="AD71" s="293"/>
      <c r="AE71" s="293"/>
      <c r="AF71" s="293"/>
      <c r="AG71" s="271"/>
      <c r="AH71" s="271"/>
      <c r="AI71" s="271"/>
      <c r="AJ71" s="271"/>
      <c r="AK71" s="271"/>
    </row>
    <row r="72" spans="1:37" ht="15" customHeight="1">
      <c r="A72" s="553"/>
      <c r="B72" s="271"/>
      <c r="C72" s="271"/>
      <c r="D72" s="271"/>
      <c r="E72" s="271"/>
      <c r="F72" s="490"/>
      <c r="G72" s="490"/>
      <c r="H72" s="490"/>
      <c r="I72" s="490"/>
      <c r="J72" s="490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  <c r="W72" s="271"/>
      <c r="X72" s="271"/>
      <c r="Y72" s="271"/>
      <c r="Z72" s="293"/>
      <c r="AA72" s="293"/>
      <c r="AB72" s="271"/>
      <c r="AC72" s="271"/>
      <c r="AD72" s="293"/>
      <c r="AE72" s="293"/>
      <c r="AF72" s="293"/>
      <c r="AG72" s="271"/>
      <c r="AH72" s="271"/>
      <c r="AI72" s="271"/>
      <c r="AJ72" s="271"/>
      <c r="AK72" s="271"/>
    </row>
    <row r="73" spans="1:37">
      <c r="A73" s="553"/>
      <c r="B73" s="271"/>
      <c r="C73" s="271"/>
      <c r="D73" s="271"/>
      <c r="E73" s="271"/>
      <c r="F73" s="490"/>
      <c r="G73" s="490"/>
      <c r="H73" s="490"/>
      <c r="I73" s="490"/>
      <c r="J73" s="490"/>
      <c r="K73" s="271"/>
      <c r="L73" s="271"/>
      <c r="M73" s="271"/>
      <c r="N73" s="271"/>
      <c r="O73" s="271"/>
      <c r="P73" s="271"/>
      <c r="Q73" s="271"/>
      <c r="R73" s="271"/>
      <c r="S73" s="271"/>
      <c r="T73" s="271"/>
      <c r="U73" s="271"/>
      <c r="V73" s="271"/>
      <c r="W73" s="271"/>
      <c r="X73" s="271"/>
      <c r="Y73" s="271"/>
      <c r="Z73" s="293"/>
      <c r="AA73" s="293"/>
      <c r="AB73" s="293"/>
      <c r="AC73" s="744" t="s">
        <v>279</v>
      </c>
      <c r="AD73" s="744"/>
      <c r="AE73" s="744"/>
      <c r="AF73" s="271"/>
      <c r="AG73" s="271"/>
      <c r="AH73" s="271"/>
      <c r="AI73" s="271"/>
      <c r="AJ73" s="271"/>
      <c r="AK73" s="271"/>
    </row>
    <row r="74" spans="1:37">
      <c r="A74" s="553"/>
      <c r="B74" s="271"/>
      <c r="C74" s="271"/>
      <c r="D74" s="271"/>
      <c r="E74" s="271"/>
      <c r="F74" s="271"/>
      <c r="G74" s="271"/>
      <c r="H74" s="271"/>
      <c r="I74" s="271"/>
      <c r="J74" s="271"/>
      <c r="K74" s="271"/>
      <c r="L74" s="271"/>
      <c r="M74" s="271"/>
      <c r="N74" s="271"/>
      <c r="O74" s="271"/>
      <c r="P74" s="271"/>
      <c r="Q74" s="271"/>
      <c r="R74" s="271"/>
      <c r="S74" s="271"/>
      <c r="T74" s="271"/>
      <c r="U74" s="271"/>
      <c r="V74" s="271"/>
      <c r="W74" s="271"/>
      <c r="X74" s="271"/>
      <c r="Y74" s="271"/>
      <c r="Z74" s="293"/>
      <c r="AA74" s="293"/>
      <c r="AB74" s="293"/>
      <c r="AC74" s="587" t="s">
        <v>497</v>
      </c>
      <c r="AD74" s="820">
        <f>0.25*RST!$N$8</f>
        <v>0.4</v>
      </c>
      <c r="AE74" s="820"/>
      <c r="AF74" s="579" t="s">
        <v>359</v>
      </c>
      <c r="AG74" s="271"/>
      <c r="AH74" s="271"/>
      <c r="AI74" s="271"/>
      <c r="AJ74" s="271"/>
      <c r="AK74" s="271"/>
    </row>
    <row r="75" spans="1:37">
      <c r="A75" s="553"/>
      <c r="B75" s="271"/>
      <c r="C75" s="271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271"/>
      <c r="U75" s="271"/>
      <c r="V75" s="271"/>
      <c r="W75" s="271"/>
      <c r="X75" s="271"/>
      <c r="Y75" s="271"/>
      <c r="Z75" s="293"/>
      <c r="AA75" s="293"/>
      <c r="AB75" s="293"/>
      <c r="AC75" s="587" t="s">
        <v>499</v>
      </c>
      <c r="AD75" s="821">
        <f>AXB!G116</f>
        <v>11.645070405297538</v>
      </c>
      <c r="AE75" s="821"/>
      <c r="AF75" s="271"/>
      <c r="AG75" s="271"/>
      <c r="AH75" s="271"/>
      <c r="AI75" s="271"/>
      <c r="AJ75" s="271"/>
      <c r="AK75" s="271"/>
    </row>
    <row r="76" spans="1:37">
      <c r="A76" s="553"/>
      <c r="B76" s="271"/>
      <c r="C76" s="271"/>
      <c r="D76" s="271"/>
      <c r="E76" s="271"/>
      <c r="F76" s="271"/>
      <c r="G76" s="271"/>
      <c r="H76" s="27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93"/>
      <c r="AA76" s="293"/>
      <c r="AB76" s="293"/>
      <c r="AC76" s="587" t="s">
        <v>519</v>
      </c>
      <c r="AD76" s="822">
        <f>AC17</f>
        <v>8</v>
      </c>
      <c r="AE76" s="822"/>
      <c r="AF76" s="271"/>
      <c r="AG76" s="271"/>
      <c r="AH76" s="271"/>
      <c r="AI76" s="271"/>
      <c r="AJ76" s="271"/>
      <c r="AK76" s="271"/>
    </row>
    <row r="77" spans="1:37">
      <c r="A77" s="553"/>
      <c r="B77" s="271"/>
      <c r="C77" s="271"/>
      <c r="D77" s="271"/>
      <c r="E77" s="271"/>
      <c r="F77" s="271"/>
      <c r="G77" s="271"/>
      <c r="H77" s="490"/>
      <c r="I77" s="271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1"/>
      <c r="V77" s="271"/>
      <c r="W77" s="271"/>
      <c r="X77" s="271"/>
      <c r="Y77" s="271"/>
      <c r="Z77" s="293"/>
      <c r="AA77" s="293"/>
      <c r="AB77" s="293"/>
      <c r="AC77" s="587" t="s">
        <v>520</v>
      </c>
      <c r="AD77" s="823">
        <f>DSB!I8*100</f>
        <v>10</v>
      </c>
      <c r="AE77" s="823"/>
      <c r="AF77" s="271"/>
      <c r="AG77" s="271"/>
      <c r="AH77" s="271"/>
      <c r="AI77" s="271"/>
      <c r="AJ77" s="271"/>
      <c r="AK77" s="271"/>
    </row>
    <row r="78" spans="1:37">
      <c r="A78" s="553"/>
      <c r="B78" s="271"/>
      <c r="C78" s="271"/>
      <c r="D78" s="271"/>
      <c r="E78" s="271"/>
      <c r="F78" s="271"/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271"/>
      <c r="U78" s="271"/>
      <c r="V78" s="271"/>
      <c r="W78" s="271"/>
      <c r="X78" s="271"/>
      <c r="Y78" s="271"/>
      <c r="Z78" s="293"/>
      <c r="AA78" s="293"/>
      <c r="AB78" s="293"/>
      <c r="AC78" s="587" t="s">
        <v>504</v>
      </c>
      <c r="AD78" s="820">
        <f>AD75/(AD76*AD77)</f>
        <v>0.14556338006621922</v>
      </c>
      <c r="AE78" s="820"/>
      <c r="AF78" s="271"/>
      <c r="AG78" s="271"/>
      <c r="AH78" s="271"/>
      <c r="AI78" s="271"/>
      <c r="AJ78" s="271"/>
      <c r="AK78" s="271"/>
    </row>
    <row r="79" spans="1:37">
      <c r="A79" s="553"/>
      <c r="B79" s="271"/>
      <c r="C79" s="271"/>
      <c r="D79" s="271"/>
      <c r="E79" s="271"/>
      <c r="F79" s="271"/>
      <c r="G79" s="271"/>
      <c r="H79" s="271"/>
      <c r="I79" s="271"/>
      <c r="J79" s="271"/>
      <c r="K79" s="271"/>
      <c r="L79" s="271"/>
      <c r="M79" s="271"/>
      <c r="N79" s="271"/>
      <c r="O79" s="271"/>
      <c r="P79" s="271"/>
      <c r="Q79" s="271"/>
      <c r="R79" s="271"/>
      <c r="S79" s="271"/>
      <c r="T79" s="271"/>
      <c r="U79" s="271"/>
      <c r="V79" s="271"/>
      <c r="W79" s="271"/>
      <c r="X79" s="271"/>
      <c r="Y79" s="271"/>
      <c r="Z79" s="293"/>
      <c r="AA79" s="293"/>
      <c r="AB79" s="293"/>
      <c r="AC79" s="819" t="str">
        <f>IF(AD78&lt;=AD74,"ATENDE","NÃO ATENDE")</f>
        <v>ATENDE</v>
      </c>
      <c r="AD79" s="819"/>
      <c r="AE79" s="819"/>
      <c r="AF79" s="271"/>
      <c r="AG79" s="271"/>
      <c r="AH79" s="271"/>
      <c r="AI79" s="271"/>
      <c r="AJ79" s="271"/>
      <c r="AK79" s="271"/>
    </row>
    <row r="80" spans="1:37">
      <c r="A80" s="553"/>
      <c r="B80" s="271"/>
      <c r="C80" s="271"/>
      <c r="D80" s="271"/>
      <c r="E80" s="271"/>
      <c r="F80" s="271"/>
      <c r="G80" s="271"/>
      <c r="H80" s="271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93"/>
      <c r="AD80" s="293"/>
      <c r="AE80" s="293"/>
      <c r="AF80" s="271"/>
      <c r="AG80" s="271"/>
      <c r="AH80" s="271"/>
      <c r="AI80" s="271"/>
      <c r="AJ80" s="271"/>
      <c r="AK80" s="271"/>
    </row>
    <row r="81" spans="1:37">
      <c r="A81" s="553"/>
      <c r="B81" s="271"/>
      <c r="C81" s="271"/>
      <c r="D81" s="271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  <c r="AA81" s="271"/>
      <c r="AB81" s="271"/>
      <c r="AC81" s="744" t="s">
        <v>102</v>
      </c>
      <c r="AD81" s="744"/>
      <c r="AE81" s="744"/>
      <c r="AF81" s="271"/>
      <c r="AG81" s="271"/>
      <c r="AH81" s="271"/>
      <c r="AI81" s="271"/>
      <c r="AJ81" s="271"/>
      <c r="AK81" s="271"/>
    </row>
    <row r="82" spans="1:37">
      <c r="A82" s="553"/>
      <c r="B82" s="271"/>
      <c r="C82" s="271"/>
      <c r="D82" s="271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749" t="s">
        <v>335</v>
      </c>
      <c r="AD82" s="749"/>
      <c r="AE82" s="749"/>
      <c r="AF82" s="271"/>
      <c r="AG82" s="271"/>
      <c r="AH82" s="271"/>
      <c r="AI82" s="271"/>
      <c r="AJ82" s="271"/>
      <c r="AK82" s="271"/>
    </row>
    <row r="83" spans="1:37">
      <c r="A83" s="553"/>
      <c r="B83" s="271"/>
      <c r="C83" s="271"/>
      <c r="D83" s="271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271"/>
      <c r="Z83" s="271"/>
      <c r="AA83" s="271"/>
      <c r="AB83" s="271"/>
      <c r="AC83" s="588" t="s">
        <v>493</v>
      </c>
      <c r="AD83" s="544">
        <f>AXA!C10*100/300</f>
        <v>1.9666666666666666</v>
      </c>
      <c r="AE83" s="544"/>
      <c r="AF83" s="271"/>
      <c r="AG83" s="271"/>
      <c r="AH83" s="271"/>
      <c r="AI83" s="271"/>
      <c r="AJ83" s="271"/>
      <c r="AK83" s="271"/>
    </row>
    <row r="84" spans="1:37">
      <c r="A84" s="553"/>
      <c r="B84" s="271"/>
      <c r="C84" s="271"/>
      <c r="D84" s="271"/>
      <c r="E84" s="271"/>
      <c r="F84" s="271"/>
      <c r="G84" s="271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271"/>
      <c r="U84" s="271"/>
      <c r="V84" s="271"/>
      <c r="W84" s="271"/>
      <c r="X84" s="271"/>
      <c r="Y84" s="271"/>
      <c r="Z84" s="271"/>
      <c r="AA84" s="271"/>
      <c r="AB84" s="271"/>
      <c r="AC84" s="589" t="s">
        <v>105</v>
      </c>
      <c r="AD84" s="552">
        <f>CMB!K227</f>
        <v>0.23542595247159478</v>
      </c>
      <c r="AE84" s="552"/>
      <c r="AF84" s="271"/>
      <c r="AG84" s="271"/>
      <c r="AH84" s="271"/>
      <c r="AI84" s="271"/>
      <c r="AJ84" s="271"/>
      <c r="AK84" s="271"/>
    </row>
    <row r="85" spans="1:37">
      <c r="A85" s="553"/>
      <c r="B85" s="271"/>
      <c r="C85" s="271"/>
      <c r="D85" s="271"/>
      <c r="E85" s="271"/>
      <c r="F85" s="271"/>
      <c r="G85" s="271"/>
      <c r="H85" s="271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271"/>
      <c r="U85" s="271"/>
      <c r="V85" s="271"/>
      <c r="W85" s="271"/>
      <c r="X85" s="271"/>
      <c r="Y85" s="271"/>
      <c r="Z85" s="271"/>
      <c r="AA85" s="271"/>
      <c r="AB85" s="271"/>
      <c r="AC85" s="748" t="s">
        <v>336</v>
      </c>
      <c r="AD85" s="748"/>
      <c r="AE85" s="748"/>
      <c r="AF85" s="271"/>
      <c r="AG85" s="271"/>
      <c r="AH85" s="271"/>
      <c r="AI85" s="271"/>
      <c r="AJ85" s="271"/>
      <c r="AK85" s="271"/>
    </row>
    <row r="86" spans="1:37">
      <c r="A86" s="553"/>
      <c r="B86" s="271"/>
      <c r="C86" s="271"/>
      <c r="D86" s="271"/>
      <c r="E86" s="271"/>
      <c r="F86" s="271"/>
      <c r="G86" s="271"/>
      <c r="H86" s="271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271"/>
      <c r="U86" s="271"/>
      <c r="V86" s="271"/>
      <c r="W86" s="271"/>
      <c r="X86" s="271"/>
      <c r="Y86" s="271"/>
      <c r="Z86" s="271"/>
      <c r="AA86" s="271"/>
      <c r="AB86" s="271"/>
      <c r="AC86" s="587" t="s">
        <v>493</v>
      </c>
      <c r="AD86" s="517">
        <f>AXA!C10*100/150</f>
        <v>3.9333333333333331</v>
      </c>
      <c r="AE86" s="517"/>
      <c r="AF86" s="271"/>
      <c r="AG86" s="271"/>
      <c r="AH86" s="271"/>
      <c r="AI86" s="271"/>
      <c r="AJ86" s="271"/>
      <c r="AK86" s="271"/>
    </row>
    <row r="87" spans="1:37">
      <c r="A87" s="553"/>
      <c r="B87" s="271"/>
      <c r="C87" s="271"/>
      <c r="D87" s="271"/>
      <c r="E87" s="271"/>
      <c r="F87" s="271"/>
      <c r="G87" s="271"/>
      <c r="H87" s="271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271"/>
      <c r="U87" s="271"/>
      <c r="V87" s="271"/>
      <c r="W87" s="271"/>
      <c r="X87" s="271"/>
      <c r="Y87" s="271"/>
      <c r="Z87" s="271"/>
      <c r="AA87" s="271"/>
      <c r="AB87" s="271"/>
      <c r="AC87" s="587" t="s">
        <v>105</v>
      </c>
      <c r="AD87" s="517">
        <f>CMB!M227*2</f>
        <v>0.60809302541552168</v>
      </c>
      <c r="AE87" s="517"/>
      <c r="AF87" s="271"/>
      <c r="AG87" s="271"/>
      <c r="AH87" s="271"/>
      <c r="AI87" s="271"/>
      <c r="AJ87" s="271"/>
      <c r="AK87" s="271"/>
    </row>
    <row r="88" spans="1:37">
      <c r="A88" s="553"/>
      <c r="B88" s="271"/>
      <c r="C88" s="271"/>
      <c r="D88" s="271"/>
      <c r="E88" s="271"/>
      <c r="F88" s="271"/>
      <c r="G88" s="271"/>
      <c r="H88" s="271"/>
      <c r="I88" s="271"/>
      <c r="J88" s="271"/>
      <c r="K88" s="271"/>
      <c r="L88" s="271"/>
      <c r="M88" s="271"/>
      <c r="N88" s="271"/>
      <c r="O88" s="271"/>
      <c r="P88" s="271"/>
      <c r="Q88" s="271"/>
      <c r="R88" s="271"/>
      <c r="S88" s="271"/>
      <c r="T88" s="271"/>
      <c r="U88" s="271"/>
      <c r="V88" s="271"/>
      <c r="W88" s="271"/>
      <c r="X88" s="271"/>
      <c r="Y88" s="271"/>
      <c r="Z88" s="271"/>
      <c r="AA88" s="271"/>
      <c r="AB88" s="271"/>
      <c r="AC88" s="756" t="s">
        <v>337</v>
      </c>
      <c r="AD88" s="756"/>
      <c r="AE88" s="757"/>
      <c r="AF88" s="271"/>
      <c r="AG88" s="271"/>
      <c r="AH88" s="271"/>
      <c r="AI88" s="271"/>
      <c r="AJ88" s="271"/>
      <c r="AK88" s="271"/>
    </row>
    <row r="89" spans="1:37">
      <c r="A89" s="553"/>
      <c r="B89" s="271"/>
      <c r="C89" s="271"/>
      <c r="D89" s="271"/>
      <c r="E89" s="271"/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271"/>
      <c r="Z89" s="271"/>
      <c r="AA89" s="271"/>
      <c r="AB89" s="271"/>
      <c r="AC89" s="587" t="s">
        <v>493</v>
      </c>
      <c r="AD89" s="517">
        <f>IF(AD90=AD84,AD83,AD86)</f>
        <v>3.9333333333333331</v>
      </c>
      <c r="AE89" s="517"/>
      <c r="AF89" s="271"/>
      <c r="AG89" s="271"/>
      <c r="AH89" s="271"/>
      <c r="AI89" s="271"/>
      <c r="AJ89" s="271"/>
      <c r="AK89" s="271"/>
    </row>
    <row r="90" spans="1:37">
      <c r="A90" s="553"/>
      <c r="B90" s="271"/>
      <c r="C90" s="271"/>
      <c r="D90" s="271"/>
      <c r="E90" s="271"/>
      <c r="F90" s="271"/>
      <c r="G90" s="271"/>
      <c r="H90" s="271"/>
      <c r="I90" s="271"/>
      <c r="J90" s="271"/>
      <c r="K90" s="271"/>
      <c r="L90" s="271"/>
      <c r="M90" s="271"/>
      <c r="N90" s="271"/>
      <c r="O90" s="271"/>
      <c r="P90" s="271"/>
      <c r="Q90" s="271"/>
      <c r="R90" s="271"/>
      <c r="S90" s="271"/>
      <c r="T90" s="271"/>
      <c r="U90" s="271"/>
      <c r="V90" s="271"/>
      <c r="W90" s="271"/>
      <c r="X90" s="271"/>
      <c r="Y90" s="271"/>
      <c r="Z90" s="271"/>
      <c r="AA90" s="271"/>
      <c r="AB90" s="271"/>
      <c r="AC90" s="587" t="s">
        <v>105</v>
      </c>
      <c r="AD90" s="517">
        <f>IF((AD84/AD83)&gt;=(AD87/AD86),AD84,AD87)</f>
        <v>0.60809302541552168</v>
      </c>
      <c r="AE90" s="517"/>
      <c r="AF90" s="271"/>
      <c r="AG90" s="271"/>
      <c r="AH90" s="271"/>
      <c r="AI90" s="271"/>
      <c r="AJ90" s="271"/>
      <c r="AK90" s="271"/>
    </row>
    <row r="91" spans="1:37">
      <c r="A91" s="553"/>
      <c r="B91" s="271"/>
      <c r="C91" s="271"/>
      <c r="D91" s="271"/>
      <c r="E91" s="271"/>
      <c r="F91" s="271"/>
      <c r="G91" s="271"/>
      <c r="H91" s="271"/>
      <c r="I91" s="271"/>
      <c r="J91" s="271"/>
      <c r="K91" s="271"/>
      <c r="L91" s="271"/>
      <c r="M91" s="271"/>
      <c r="N91" s="271"/>
      <c r="O91" s="271"/>
      <c r="P91" s="271"/>
      <c r="Q91" s="271"/>
      <c r="R91" s="271"/>
      <c r="S91" s="271"/>
      <c r="T91" s="271"/>
      <c r="U91" s="271"/>
      <c r="V91" s="271"/>
      <c r="W91" s="271"/>
      <c r="X91" s="271"/>
      <c r="Y91" s="271"/>
      <c r="Z91" s="271"/>
      <c r="AA91" s="271"/>
      <c r="AB91" s="271"/>
      <c r="AC91" s="819" t="str">
        <f>IF(AND(AD84&lt;=AD83,AD87&lt;=AD86),"ATENDE","NÃO ATENDE")</f>
        <v>ATENDE</v>
      </c>
      <c r="AD91" s="819"/>
      <c r="AE91" s="819"/>
      <c r="AF91" s="271"/>
      <c r="AG91" s="271"/>
      <c r="AH91" s="271"/>
      <c r="AI91" s="271"/>
      <c r="AJ91" s="271"/>
      <c r="AK91" s="271"/>
    </row>
    <row r="92" spans="1:37">
      <c r="A92" s="553"/>
      <c r="B92" s="271"/>
      <c r="C92" s="271"/>
      <c r="D92" s="271"/>
      <c r="E92" s="271"/>
      <c r="F92" s="271"/>
      <c r="G92" s="271"/>
      <c r="H92" s="271"/>
      <c r="I92" s="271"/>
      <c r="J92" s="271"/>
      <c r="K92" s="271"/>
      <c r="L92" s="271"/>
      <c r="M92" s="271"/>
      <c r="N92" s="271"/>
      <c r="O92" s="271"/>
      <c r="P92" s="271"/>
      <c r="Q92" s="271"/>
      <c r="R92" s="271"/>
      <c r="S92" s="271"/>
      <c r="T92" s="271"/>
      <c r="U92" s="271"/>
      <c r="V92" s="271"/>
      <c r="W92" s="271"/>
      <c r="X92" s="271"/>
      <c r="Y92" s="271"/>
      <c r="Z92" s="271"/>
      <c r="AA92" s="271"/>
      <c r="AB92" s="271"/>
      <c r="AC92" s="271"/>
      <c r="AD92" s="271"/>
      <c r="AE92" s="271"/>
      <c r="AF92" s="271"/>
      <c r="AG92" s="271"/>
      <c r="AH92" s="271"/>
      <c r="AI92" s="271"/>
      <c r="AJ92" s="271"/>
      <c r="AK92" s="271"/>
    </row>
    <row r="93" spans="1:37">
      <c r="A93" s="553"/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</row>
    <row r="94" spans="1:37">
      <c r="A94" s="553"/>
      <c r="B94" s="271"/>
      <c r="C94" s="271"/>
      <c r="D94" s="271"/>
      <c r="E94" s="271"/>
      <c r="F94" s="271"/>
      <c r="G94" s="271"/>
      <c r="H94" s="271"/>
      <c r="I94" s="271"/>
      <c r="J94" s="271"/>
      <c r="K94" s="271"/>
      <c r="L94" s="271"/>
      <c r="M94" s="271"/>
      <c r="N94" s="271"/>
      <c r="O94" s="271"/>
      <c r="P94" s="271"/>
      <c r="Q94" s="271"/>
      <c r="R94" s="271"/>
      <c r="S94" s="271"/>
      <c r="T94" s="271"/>
      <c r="U94" s="271"/>
      <c r="V94" s="271"/>
      <c r="W94" s="271"/>
      <c r="X94" s="271"/>
      <c r="Y94" s="271"/>
      <c r="Z94" s="271"/>
      <c r="AA94" s="271"/>
      <c r="AB94" s="271"/>
      <c r="AC94" s="271"/>
      <c r="AD94" s="271"/>
      <c r="AE94" s="271"/>
      <c r="AF94" s="271"/>
      <c r="AG94" s="271"/>
      <c r="AH94" s="271"/>
      <c r="AI94" s="271"/>
      <c r="AJ94" s="271"/>
      <c r="AK94" s="271"/>
    </row>
    <row r="95" spans="1:37">
      <c r="A95" s="553"/>
      <c r="B95" s="271"/>
      <c r="C95" s="271"/>
      <c r="D95" s="271"/>
      <c r="E95" s="271"/>
      <c r="F95" s="271"/>
      <c r="G95" s="271"/>
      <c r="H95" s="271"/>
      <c r="I95" s="271"/>
      <c r="J95" s="271"/>
      <c r="K95" s="271"/>
      <c r="L95" s="271"/>
      <c r="M95" s="271"/>
      <c r="N95" s="271"/>
      <c r="O95" s="271"/>
      <c r="P95" s="271"/>
      <c r="Q95" s="271"/>
      <c r="R95" s="271"/>
      <c r="S95" s="271"/>
      <c r="T95" s="271"/>
      <c r="U95" s="271"/>
      <c r="V95" s="271"/>
      <c r="W95" s="271"/>
      <c r="X95" s="271"/>
      <c r="Y95" s="271"/>
      <c r="Z95" s="271"/>
      <c r="AA95" s="271"/>
      <c r="AB95" s="271"/>
      <c r="AC95" s="271"/>
      <c r="AD95" s="271"/>
      <c r="AE95" s="271"/>
      <c r="AF95" s="271"/>
      <c r="AG95" s="271"/>
      <c r="AH95" s="271"/>
      <c r="AI95" s="271"/>
      <c r="AJ95" s="271"/>
      <c r="AK95" s="271"/>
    </row>
    <row r="96" spans="1:37">
      <c r="A96" s="553"/>
      <c r="B96" s="271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1"/>
      <c r="Q96" s="271"/>
      <c r="R96" s="271"/>
      <c r="S96" s="271"/>
      <c r="T96" s="271"/>
      <c r="U96" s="271"/>
      <c r="V96" s="271"/>
      <c r="W96" s="271"/>
      <c r="X96" s="271"/>
      <c r="Y96" s="271"/>
      <c r="Z96" s="271"/>
      <c r="AA96" s="271"/>
      <c r="AB96" s="271"/>
      <c r="AC96" s="271"/>
      <c r="AD96" s="271"/>
      <c r="AE96" s="271"/>
      <c r="AF96" s="271"/>
      <c r="AG96" s="271"/>
      <c r="AH96" s="271"/>
      <c r="AI96" s="271"/>
      <c r="AJ96" s="271"/>
      <c r="AK96" s="271"/>
    </row>
    <row r="97" spans="1:37">
      <c r="A97" s="553"/>
      <c r="B97" s="271"/>
      <c r="C97" s="271"/>
      <c r="D97" s="271"/>
      <c r="E97" s="271"/>
      <c r="F97" s="271"/>
      <c r="G97" s="271"/>
      <c r="H97" s="271"/>
      <c r="I97" s="271"/>
      <c r="J97" s="271"/>
      <c r="K97" s="271"/>
      <c r="L97" s="271"/>
      <c r="M97" s="271"/>
      <c r="N97" s="271"/>
      <c r="O97" s="271"/>
      <c r="P97" s="271"/>
      <c r="Q97" s="271"/>
      <c r="R97" s="271"/>
      <c r="S97" s="271"/>
      <c r="T97" s="271"/>
      <c r="U97" s="271"/>
      <c r="V97" s="271"/>
      <c r="W97" s="271"/>
      <c r="X97" s="271"/>
      <c r="Y97" s="271"/>
      <c r="Z97" s="271"/>
      <c r="AA97" s="271"/>
      <c r="AB97" s="271"/>
      <c r="AC97" s="271"/>
      <c r="AD97" s="271"/>
      <c r="AE97" s="271"/>
      <c r="AF97" s="271"/>
      <c r="AG97" s="271"/>
      <c r="AH97" s="271"/>
      <c r="AI97" s="271"/>
      <c r="AJ97" s="271"/>
      <c r="AK97" s="271"/>
    </row>
    <row r="98" spans="1:37">
      <c r="A98" s="553"/>
      <c r="B98" s="271"/>
      <c r="C98" s="271"/>
      <c r="D98" s="271"/>
      <c r="E98" s="271"/>
      <c r="F98" s="271"/>
      <c r="G98" s="271"/>
      <c r="H98" s="271"/>
      <c r="I98" s="271"/>
      <c r="J98" s="271"/>
      <c r="K98" s="271"/>
      <c r="L98" s="271"/>
      <c r="M98" s="271"/>
      <c r="N98" s="271"/>
      <c r="O98" s="271"/>
      <c r="P98" s="271"/>
      <c r="Q98" s="271"/>
      <c r="R98" s="271"/>
      <c r="S98" s="271"/>
      <c r="T98" s="271"/>
      <c r="U98" s="271"/>
      <c r="V98" s="271"/>
      <c r="W98" s="271"/>
      <c r="X98" s="271"/>
      <c r="Y98" s="271"/>
      <c r="Z98" s="271"/>
      <c r="AA98" s="271"/>
      <c r="AB98" s="271"/>
      <c r="AC98" s="271"/>
      <c r="AD98" s="271"/>
      <c r="AE98" s="271"/>
      <c r="AF98" s="271"/>
      <c r="AG98" s="271"/>
      <c r="AH98" s="271"/>
      <c r="AI98" s="271"/>
      <c r="AJ98" s="271"/>
      <c r="AK98" s="271"/>
    </row>
    <row r="99" spans="1:37">
      <c r="A99" s="553"/>
      <c r="B99" s="271"/>
      <c r="C99" s="271"/>
      <c r="D99" s="271"/>
      <c r="E99" s="271"/>
      <c r="F99" s="271"/>
      <c r="G99" s="271"/>
      <c r="H99" s="271"/>
      <c r="I99" s="271"/>
      <c r="J99" s="271"/>
      <c r="K99" s="271"/>
      <c r="L99" s="271"/>
      <c r="M99" s="271"/>
      <c r="N99" s="271"/>
      <c r="O99" s="271"/>
      <c r="P99" s="271"/>
      <c r="Q99" s="271"/>
      <c r="R99" s="271"/>
      <c r="S99" s="271"/>
      <c r="T99" s="271"/>
      <c r="U99" s="271"/>
      <c r="V99" s="271"/>
      <c r="W99" s="271"/>
      <c r="X99" s="271"/>
      <c r="Y99" s="271"/>
      <c r="Z99" s="271"/>
      <c r="AA99" s="271"/>
      <c r="AB99" s="271"/>
      <c r="AC99" s="271"/>
      <c r="AD99" s="271"/>
      <c r="AE99" s="271"/>
      <c r="AF99" s="271"/>
      <c r="AG99" s="271"/>
      <c r="AH99" s="271"/>
      <c r="AI99" s="271"/>
      <c r="AJ99" s="271"/>
      <c r="AK99" s="271"/>
    </row>
    <row r="100" spans="1:37">
      <c r="A100" s="553"/>
      <c r="B100" s="271"/>
      <c r="C100" s="271"/>
      <c r="D100" s="271"/>
      <c r="E100" s="271"/>
      <c r="F100" s="271"/>
      <c r="G100" s="271"/>
      <c r="H100" s="271"/>
      <c r="I100" s="271"/>
      <c r="J100" s="271"/>
      <c r="K100" s="271"/>
      <c r="L100" s="271"/>
      <c r="M100" s="271"/>
      <c r="N100" s="271"/>
      <c r="O100" s="271"/>
      <c r="P100" s="271"/>
      <c r="Q100" s="271"/>
      <c r="R100" s="271"/>
      <c r="S100" s="271"/>
      <c r="T100" s="271"/>
      <c r="U100" s="271"/>
      <c r="V100" s="271"/>
      <c r="W100" s="271"/>
      <c r="X100" s="271"/>
      <c r="Y100" s="271"/>
      <c r="Z100" s="271"/>
      <c r="AA100" s="271"/>
      <c r="AB100" s="271"/>
      <c r="AC100" s="271"/>
      <c r="AD100" s="271"/>
      <c r="AE100" s="271"/>
      <c r="AF100" s="271"/>
      <c r="AG100" s="271"/>
      <c r="AH100" s="271"/>
      <c r="AI100" s="271"/>
      <c r="AJ100" s="271"/>
      <c r="AK100" s="271"/>
    </row>
    <row r="101" spans="1:37">
      <c r="A101" s="553"/>
      <c r="B101" s="271"/>
      <c r="C101" s="271"/>
      <c r="D101" s="271"/>
      <c r="E101" s="271"/>
      <c r="F101" s="271"/>
      <c r="G101" s="271"/>
      <c r="H101" s="271"/>
      <c r="I101" s="271"/>
      <c r="J101" s="271"/>
      <c r="K101" s="271"/>
      <c r="L101" s="271"/>
      <c r="M101" s="271"/>
      <c r="N101" s="271"/>
      <c r="O101" s="271"/>
      <c r="P101" s="271"/>
      <c r="Q101" s="271"/>
      <c r="R101" s="271"/>
      <c r="S101" s="271"/>
      <c r="T101" s="271"/>
      <c r="U101" s="271"/>
      <c r="V101" s="271"/>
      <c r="W101" s="271"/>
      <c r="X101" s="271"/>
      <c r="Y101" s="271"/>
      <c r="Z101" s="271"/>
      <c r="AA101" s="271"/>
      <c r="AB101" s="271"/>
      <c r="AC101" s="271"/>
      <c r="AD101" s="271"/>
      <c r="AE101" s="271"/>
      <c r="AF101" s="271"/>
      <c r="AG101" s="271"/>
      <c r="AH101" s="271"/>
      <c r="AI101" s="271"/>
      <c r="AJ101" s="271"/>
      <c r="AK101" s="271"/>
    </row>
    <row r="102" spans="1:37">
      <c r="A102" s="553"/>
      <c r="B102" s="271"/>
      <c r="C102" s="271"/>
      <c r="D102" s="271"/>
      <c r="E102" s="271"/>
      <c r="F102" s="271"/>
      <c r="G102" s="271"/>
      <c r="H102" s="271"/>
      <c r="I102" s="271"/>
      <c r="J102" s="271"/>
      <c r="K102" s="271"/>
      <c r="L102" s="271"/>
      <c r="M102" s="271"/>
      <c r="N102" s="271"/>
      <c r="O102" s="271"/>
      <c r="P102" s="271"/>
      <c r="Q102" s="271"/>
      <c r="R102" s="271"/>
      <c r="S102" s="271"/>
      <c r="T102" s="271"/>
      <c r="U102" s="271"/>
      <c r="V102" s="271"/>
      <c r="W102" s="271"/>
      <c r="X102" s="271"/>
      <c r="Y102" s="271"/>
      <c r="Z102" s="271"/>
      <c r="AA102" s="271"/>
      <c r="AB102" s="271"/>
      <c r="AC102" s="271"/>
      <c r="AD102" s="271"/>
      <c r="AE102" s="271"/>
      <c r="AF102" s="271"/>
      <c r="AG102" s="271"/>
      <c r="AH102" s="271"/>
      <c r="AI102" s="271"/>
      <c r="AJ102" s="271"/>
      <c r="AK102" s="271"/>
    </row>
    <row r="103" spans="1:37">
      <c r="A103" s="553"/>
      <c r="B103" s="271"/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1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271"/>
      <c r="AH103" s="271"/>
      <c r="AI103" s="271"/>
      <c r="AJ103" s="271"/>
      <c r="AK103" s="271"/>
    </row>
    <row r="104" spans="1:37">
      <c r="A104" s="553"/>
      <c r="B104" s="271"/>
      <c r="C104" s="271"/>
      <c r="D104" s="271"/>
      <c r="E104" s="271"/>
      <c r="F104" s="271"/>
      <c r="G104" s="271"/>
      <c r="H104" s="271"/>
      <c r="I104" s="271"/>
      <c r="J104" s="271"/>
      <c r="K104" s="271"/>
      <c r="L104" s="271"/>
      <c r="M104" s="271"/>
      <c r="N104" s="271"/>
      <c r="O104" s="271"/>
      <c r="P104" s="271"/>
      <c r="Q104" s="271"/>
      <c r="R104" s="271"/>
      <c r="S104" s="271"/>
      <c r="T104" s="271"/>
      <c r="U104" s="271"/>
      <c r="V104" s="271"/>
      <c r="W104" s="271"/>
      <c r="X104" s="271"/>
      <c r="Y104" s="271"/>
      <c r="Z104" s="271"/>
      <c r="AA104" s="271"/>
      <c r="AB104" s="271"/>
      <c r="AC104" s="271"/>
      <c r="AD104" s="271"/>
      <c r="AE104" s="271"/>
      <c r="AF104" s="271"/>
      <c r="AG104" s="271"/>
      <c r="AH104" s="271"/>
      <c r="AI104" s="271"/>
      <c r="AJ104" s="271"/>
      <c r="AK104" s="271"/>
    </row>
  </sheetData>
  <sheetProtection algorithmName="SHA-512" hashValue="QU2+26VumnuX5AjoBUpTV9YEEU0RIAOwiQBU7x6m+LoOhlguuws5NlB+1jyb/KegFbWtTVpVzYKJ5sHd1uOlAQ==" saltValue="ksAqxrO+sxxrx1W47yHy5Q==" spinCount="100000" sheet="1" objects="1" scenarios="1" selectLockedCells="1"/>
  <mergeCells count="132">
    <mergeCell ref="B30:E30"/>
    <mergeCell ref="G30:J30"/>
    <mergeCell ref="AC81:AE81"/>
    <mergeCell ref="S30:U30"/>
    <mergeCell ref="W30:Y30"/>
    <mergeCell ref="AB37:AC39"/>
    <mergeCell ref="T64:U64"/>
    <mergeCell ref="D55:E55"/>
    <mergeCell ref="T56:U56"/>
    <mergeCell ref="W61:X61"/>
    <mergeCell ref="T58:U58"/>
    <mergeCell ref="AB57:AC57"/>
    <mergeCell ref="AE57:AF57"/>
    <mergeCell ref="AB58:AC58"/>
    <mergeCell ref="AE58:AF58"/>
    <mergeCell ref="AB62:AC62"/>
    <mergeCell ref="AE62:AF62"/>
    <mergeCell ref="AB60:AC60"/>
    <mergeCell ref="AE60:AF60"/>
    <mergeCell ref="AB61:AC61"/>
    <mergeCell ref="D48:E48"/>
    <mergeCell ref="G55:H55"/>
    <mergeCell ref="T48:U48"/>
    <mergeCell ref="W48:X48"/>
    <mergeCell ref="D45:E45"/>
    <mergeCell ref="G45:H45"/>
    <mergeCell ref="T45:U45"/>
    <mergeCell ref="W45:X45"/>
    <mergeCell ref="G49:H49"/>
    <mergeCell ref="G52:H52"/>
    <mergeCell ref="D49:E49"/>
    <mergeCell ref="T50:U50"/>
    <mergeCell ref="G46:H46"/>
    <mergeCell ref="W49:Z49"/>
    <mergeCell ref="W52:Z52"/>
    <mergeCell ref="W55:X55"/>
    <mergeCell ref="G28:H28"/>
    <mergeCell ref="T28:U28"/>
    <mergeCell ref="O26:P26"/>
    <mergeCell ref="G42:G43"/>
    <mergeCell ref="H42:H43"/>
    <mergeCell ref="W42:W43"/>
    <mergeCell ref="X42:X43"/>
    <mergeCell ref="G38:G39"/>
    <mergeCell ref="H38:H39"/>
    <mergeCell ref="W38:W39"/>
    <mergeCell ref="X38:X39"/>
    <mergeCell ref="O39:P39"/>
    <mergeCell ref="AB36:AC36"/>
    <mergeCell ref="L31:M31"/>
    <mergeCell ref="W28:X28"/>
    <mergeCell ref="AE21:AF21"/>
    <mergeCell ref="D15:E15"/>
    <mergeCell ref="G15:H15"/>
    <mergeCell ref="T15:U15"/>
    <mergeCell ref="W15:X15"/>
    <mergeCell ref="AB24:AC24"/>
    <mergeCell ref="AE24:AF24"/>
    <mergeCell ref="D25:E25"/>
    <mergeCell ref="G25:H25"/>
    <mergeCell ref="O25:P25"/>
    <mergeCell ref="T25:U25"/>
    <mergeCell ref="W25:X25"/>
    <mergeCell ref="AB25:AC25"/>
    <mergeCell ref="AE25:AF25"/>
    <mergeCell ref="D24:E24"/>
    <mergeCell ref="G24:H24"/>
    <mergeCell ref="T24:U24"/>
    <mergeCell ref="W24:X24"/>
    <mergeCell ref="L21:M21"/>
    <mergeCell ref="L24:M24"/>
    <mergeCell ref="D28:E28"/>
    <mergeCell ref="D6:H6"/>
    <mergeCell ref="L6:P6"/>
    <mergeCell ref="T6:X6"/>
    <mergeCell ref="L18:M18"/>
    <mergeCell ref="O18:P18"/>
    <mergeCell ref="O22:P22"/>
    <mergeCell ref="L23:M23"/>
    <mergeCell ref="AB6:AF6"/>
    <mergeCell ref="T12:X12"/>
    <mergeCell ref="D14:E14"/>
    <mergeCell ref="G14:H14"/>
    <mergeCell ref="T14:U14"/>
    <mergeCell ref="W14:X14"/>
    <mergeCell ref="AB15:AF15"/>
    <mergeCell ref="AB19:AF19"/>
    <mergeCell ref="D21:E21"/>
    <mergeCell ref="G21:H21"/>
    <mergeCell ref="O21:P21"/>
    <mergeCell ref="T21:U21"/>
    <mergeCell ref="W21:X21"/>
    <mergeCell ref="AB21:AC21"/>
    <mergeCell ref="L8:P8"/>
    <mergeCell ref="T8:X8"/>
    <mergeCell ref="D8:H8"/>
    <mergeCell ref="AC91:AE91"/>
    <mergeCell ref="I31:J31"/>
    <mergeCell ref="I32:J32"/>
    <mergeCell ref="I33:J33"/>
    <mergeCell ref="I34:J34"/>
    <mergeCell ref="D34:E34"/>
    <mergeCell ref="D37:H37"/>
    <mergeCell ref="T36:X36"/>
    <mergeCell ref="AB29:AC29"/>
    <mergeCell ref="AE29:AF29"/>
    <mergeCell ref="AB30:AC30"/>
    <mergeCell ref="AB31:AC31"/>
    <mergeCell ref="O32:P32"/>
    <mergeCell ref="O33:P33"/>
    <mergeCell ref="S34:U34"/>
    <mergeCell ref="W34:Y34"/>
    <mergeCell ref="AB45:AF45"/>
    <mergeCell ref="L38:M38"/>
    <mergeCell ref="L36:M36"/>
    <mergeCell ref="D31:E31"/>
    <mergeCell ref="Y45:Z45"/>
    <mergeCell ref="AB47:AC47"/>
    <mergeCell ref="AE47:AF47"/>
    <mergeCell ref="Y48:Z48"/>
    <mergeCell ref="AB67:AC67"/>
    <mergeCell ref="AB68:AC70"/>
    <mergeCell ref="AC73:AE73"/>
    <mergeCell ref="AC82:AE82"/>
    <mergeCell ref="AC88:AE88"/>
    <mergeCell ref="AC79:AE79"/>
    <mergeCell ref="AC85:AE85"/>
    <mergeCell ref="AD74:AE74"/>
    <mergeCell ref="AD75:AE75"/>
    <mergeCell ref="AD76:AE76"/>
    <mergeCell ref="AD77:AE77"/>
    <mergeCell ref="AD78:AE78"/>
  </mergeCells>
  <conditionalFormatting sqref="L23">
    <cfRule type="containsText" dxfId="49" priority="25" operator="containsText" text="PEÇA ESBELTA">
      <formula>NOT(ISERROR(SEARCH("PEÇA ESBELTA",L23)))</formula>
    </cfRule>
    <cfRule type="containsText" dxfId="48" priority="26" operator="containsText" text="MEDIANAMENTE">
      <formula>NOT(ISERROR(SEARCH("MEDIANAMENTE",L23)))</formula>
    </cfRule>
    <cfRule type="containsText" dxfId="47" priority="27" operator="containsText" text="CURTA">
      <formula>NOT(ISERROR(SEARCH("CURTA",L23)))</formula>
    </cfRule>
  </conditionalFormatting>
  <conditionalFormatting sqref="L31">
    <cfRule type="containsText" dxfId="46" priority="13" operator="containsText" text="NÃO">
      <formula>NOT(ISERROR(SEARCH("NÃO",L31)))</formula>
    </cfRule>
    <cfRule type="containsText" dxfId="45" priority="14" operator="containsText" text="ATENDE">
      <formula>NOT(ISERROR(SEARCH("ATENDE",L31)))</formula>
    </cfRule>
  </conditionalFormatting>
  <conditionalFormatting sqref="L38:L39">
    <cfRule type="containsText" dxfId="44" priority="9" operator="containsText" text="NÃO">
      <formula>NOT(ISERROR(SEARCH("NÃO",L38)))</formula>
    </cfRule>
    <cfRule type="containsText" dxfId="43" priority="10" operator="containsText" text="ATENDE">
      <formula>NOT(ISERROR(SEARCH("ATENDE",L38)))</formula>
    </cfRule>
  </conditionalFormatting>
  <conditionalFormatting sqref="L21:M21">
    <cfRule type="containsText" dxfId="42" priority="17" operator="containsText" text="NÃO">
      <formula>NOT(ISERROR(SEARCH("NÃO",L21)))</formula>
    </cfRule>
    <cfRule type="containsText" dxfId="41" priority="18" operator="containsText" text="ATENDE">
      <formula>NOT(ISERROR(SEARCH("ATENDE",L21)))</formula>
    </cfRule>
  </conditionalFormatting>
  <conditionalFormatting sqref="L42:M42">
    <cfRule type="containsText" dxfId="40" priority="11" operator="containsText" text="NÃO">
      <formula>NOT(ISERROR(SEARCH("NÃO",L42)))</formula>
    </cfRule>
    <cfRule type="containsText" dxfId="39" priority="12" operator="containsText" text="ATENDE">
      <formula>NOT(ISERROR(SEARCH("ATENDE",L42)))</formula>
    </cfRule>
  </conditionalFormatting>
  <conditionalFormatting sqref="O21 D24:E24 G24:H24 T24:U24 W24:X24 AB24:AC24 AE24:AF24 O25 D28:E29 G28:H29 T28:U29 W28:X29 AB29:AC29 AE29:AF29 O32 C34:E34 H34:J34 S34 W34 AB36:AC36 H38:H39 X38:X39 O39:P39 H42:H43 X42:X43 D48:E48 T48:U48 W48:Z48 D55:E55 G55:H55 T56:U56 AB57:AC57 AE57:AF57 W61:X61 T64:U64 AC79">
    <cfRule type="containsText" dxfId="38" priority="28" operator="containsText" text="NÃO">
      <formula>NOT(ISERROR(SEARCH("NÃO",C21)))</formula>
    </cfRule>
    <cfRule type="containsText" dxfId="37" priority="29" operator="containsText" text="ATENDE">
      <formula>NOT(ISERROR(SEARCH("ATENDE",C21)))</formula>
    </cfRule>
  </conditionalFormatting>
  <conditionalFormatting sqref="W52">
    <cfRule type="containsText" dxfId="36" priority="21" operator="containsText" text="NÃO">
      <formula>NOT(ISERROR(SEARCH("NÃO",W52)))</formula>
    </cfRule>
    <cfRule type="containsText" dxfId="35" priority="22" operator="containsText" text="ATENDE">
      <formula>NOT(ISERROR(SEARCH("ATENDE",W52)))</formula>
    </cfRule>
  </conditionalFormatting>
  <conditionalFormatting sqref="AB67">
    <cfRule type="containsText" dxfId="34" priority="1" operator="containsText" text="NÃO">
      <formula>NOT(ISERROR(SEARCH("NÃO",AB67)))</formula>
    </cfRule>
    <cfRule type="containsText" dxfId="33" priority="2" operator="containsText" text="ATENDE">
      <formula>NOT(ISERROR(SEARCH("ATENDE",AB67)))</formula>
    </cfRule>
  </conditionalFormatting>
  <conditionalFormatting sqref="AB60:AC60">
    <cfRule type="containsText" dxfId="32" priority="5" operator="containsText" text="NÃO">
      <formula>NOT(ISERROR(SEARCH("NÃO",AB60)))</formula>
    </cfRule>
    <cfRule type="containsText" dxfId="31" priority="6" operator="containsText" text="ATENDE">
      <formula>NOT(ISERROR(SEARCH("ATENDE",AB60)))</formula>
    </cfRule>
  </conditionalFormatting>
  <conditionalFormatting sqref="AC91">
    <cfRule type="containsText" dxfId="30" priority="19" operator="containsText" text="NÃO">
      <formula>NOT(ISERROR(SEARCH("NÃO",AC91)))</formula>
    </cfRule>
    <cfRule type="containsText" dxfId="29" priority="20" operator="containsText" text="ATENDE">
      <formula>NOT(ISERROR(SEARCH("ATENDE",AC91)))</formula>
    </cfRule>
  </conditionalFormatting>
  <conditionalFormatting sqref="AE60:AF60">
    <cfRule type="containsText" dxfId="28" priority="3" operator="containsText" text="NÃO">
      <formula>NOT(ISERROR(SEARCH("NÃO",AE60)))</formula>
    </cfRule>
    <cfRule type="containsText" dxfId="27" priority="4" operator="containsText" text="ATENDE">
      <formula>NOT(ISERROR(SEARCH("ATENDE",AE60)))</formula>
    </cfRule>
  </conditionalFormatting>
  <conditionalFormatting sqref="AE62:AF62">
    <cfRule type="containsText" dxfId="26" priority="7" operator="containsText" text="NÃO">
      <formula>NOT(ISERROR(SEARCH("NÃO",AE62)))</formula>
    </cfRule>
    <cfRule type="containsText" dxfId="25" priority="8" operator="containsText" text="ATENDE">
      <formula>NOT(ISERROR(SEARCH("ATENDE",AE62)))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8903-4BA4-4E91-9DB1-DD36921D2B8A}">
  <sheetPr>
    <tabColor rgb="FF1C617A"/>
  </sheetPr>
  <dimension ref="A1:BL114"/>
  <sheetViews>
    <sheetView showGridLines="0" showRowColHeaders="0" zoomScaleNormal="100" workbookViewId="0">
      <pane ySplit="3" topLeftCell="A4" activePane="bottomLeft" state="frozen"/>
      <selection activeCell="M5" sqref="M5"/>
      <selection pane="bottomLeft"/>
    </sheetView>
  </sheetViews>
  <sheetFormatPr defaultColWidth="0" defaultRowHeight="15" zeroHeight="1"/>
  <cols>
    <col min="1" max="1" width="26.33203125" style="169" customWidth="1"/>
    <col min="2" max="2" width="16.6640625" style="169" bestFit="1" customWidth="1"/>
    <col min="3" max="3" width="7.33203125" style="169" bestFit="1" customWidth="1"/>
    <col min="4" max="4" width="7.6640625" style="169" bestFit="1" customWidth="1"/>
    <col min="5" max="5" width="17.33203125" style="228" customWidth="1"/>
    <col min="6" max="6" width="12.5546875" style="573" bestFit="1" customWidth="1"/>
    <col min="7" max="7" width="3.6640625" style="566" customWidth="1"/>
    <col min="8" max="8" width="10.33203125" style="228" bestFit="1" customWidth="1"/>
    <col min="9" max="9" width="7.33203125" style="228" bestFit="1" customWidth="1"/>
    <col min="10" max="10" width="7.6640625" style="573" bestFit="1" customWidth="1"/>
    <col min="11" max="11" width="9.109375" style="566" customWidth="1"/>
    <col min="12" max="12" width="11.33203125" style="169" customWidth="1"/>
    <col min="13" max="13" width="10.44140625" style="169" bestFit="1" customWidth="1"/>
    <col min="14" max="14" width="10.109375" style="169" customWidth="1"/>
    <col min="15" max="15" width="11.5546875" style="169" customWidth="1"/>
    <col min="16" max="16" width="10.88671875" style="169" customWidth="1"/>
    <col min="17" max="22" width="9.109375" style="169" customWidth="1"/>
    <col min="23" max="31" width="9.109375" style="169" hidden="1" customWidth="1"/>
    <col min="32" max="32" width="13" style="169" hidden="1" customWidth="1"/>
    <col min="33" max="33" width="13.88671875" style="169" hidden="1" customWidth="1"/>
    <col min="34" max="34" width="13.44140625" style="169" hidden="1" customWidth="1"/>
    <col min="35" max="61" width="9.109375" style="169" hidden="1" customWidth="1"/>
    <col min="62" max="62" width="12.33203125" style="169" hidden="1" customWidth="1"/>
    <col min="63" max="63" width="12.5546875" style="169" hidden="1" customWidth="1"/>
    <col min="64" max="64" width="13" style="169" hidden="1" customWidth="1"/>
    <col min="65" max="16384" width="9.109375" style="169" hidden="1"/>
  </cols>
  <sheetData>
    <row r="1" spans="1:22" ht="9.9" customHeight="1">
      <c r="A1" s="558"/>
      <c r="B1" s="558"/>
      <c r="C1" s="558"/>
      <c r="D1" s="558"/>
      <c r="E1" s="557"/>
      <c r="F1" s="568"/>
      <c r="G1" s="562"/>
      <c r="H1" s="557"/>
      <c r="I1" s="557"/>
      <c r="J1" s="568"/>
      <c r="K1" s="562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558"/>
    </row>
    <row r="2" spans="1:22" ht="16.5" customHeight="1">
      <c r="A2" s="558"/>
      <c r="B2" s="558"/>
      <c r="C2" s="558"/>
      <c r="D2" s="558"/>
      <c r="E2" s="557"/>
      <c r="F2" s="568"/>
      <c r="G2" s="562"/>
      <c r="H2" s="557"/>
      <c r="I2" s="557"/>
      <c r="J2" s="568"/>
      <c r="K2" s="562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</row>
    <row r="3" spans="1:22" ht="9.9" customHeight="1">
      <c r="A3" s="558"/>
      <c r="B3" s="558"/>
      <c r="C3" s="558"/>
      <c r="D3" s="558"/>
      <c r="E3" s="557"/>
      <c r="F3" s="568"/>
      <c r="G3" s="562"/>
      <c r="H3" s="557"/>
      <c r="I3" s="557"/>
      <c r="J3" s="568"/>
      <c r="K3" s="562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</row>
    <row r="4" spans="1:22" ht="30" customHeight="1">
      <c r="A4" s="558"/>
      <c r="B4" s="575" t="s">
        <v>521</v>
      </c>
      <c r="C4" s="558"/>
      <c r="D4" s="558"/>
      <c r="E4" s="568"/>
      <c r="F4" s="568"/>
      <c r="G4" s="562"/>
      <c r="H4" s="557"/>
      <c r="I4" s="557"/>
      <c r="J4" s="568"/>
      <c r="K4" s="562"/>
      <c r="L4" s="558"/>
      <c r="M4" s="558"/>
      <c r="N4" s="558"/>
      <c r="O4" s="558"/>
      <c r="P4" s="558"/>
      <c r="Q4" s="558"/>
      <c r="R4" s="558"/>
      <c r="S4" s="558"/>
      <c r="T4" s="558"/>
      <c r="U4" s="558"/>
      <c r="V4" s="558"/>
    </row>
    <row r="5" spans="1:22">
      <c r="A5" s="558"/>
      <c r="B5" s="558"/>
      <c r="C5" s="558"/>
      <c r="D5" s="558"/>
      <c r="E5" s="557"/>
      <c r="F5" s="568"/>
      <c r="G5" s="562"/>
      <c r="H5" s="557"/>
      <c r="I5" s="557"/>
      <c r="J5" s="568"/>
      <c r="K5" s="562"/>
      <c r="L5" s="558"/>
      <c r="M5" s="558"/>
      <c r="N5" s="558"/>
      <c r="O5" s="558"/>
      <c r="P5" s="558"/>
      <c r="Q5" s="558"/>
      <c r="R5" s="558"/>
      <c r="S5" s="558"/>
      <c r="T5" s="558"/>
      <c r="U5" s="558"/>
      <c r="V5" s="558"/>
    </row>
    <row r="6" spans="1:22">
      <c r="A6" s="558"/>
      <c r="B6" s="558"/>
      <c r="C6" s="558"/>
      <c r="D6" s="558"/>
      <c r="E6" s="557"/>
      <c r="F6" s="568"/>
      <c r="G6" s="562"/>
      <c r="H6" s="557"/>
      <c r="I6" s="557"/>
      <c r="J6" s="568"/>
      <c r="K6" s="562"/>
      <c r="L6" s="558"/>
      <c r="M6" s="558"/>
      <c r="N6" s="558"/>
      <c r="O6" s="558"/>
      <c r="P6" s="558"/>
      <c r="Q6" s="558"/>
      <c r="R6" s="558"/>
      <c r="S6" s="558"/>
      <c r="T6" s="558"/>
      <c r="U6" s="558"/>
      <c r="V6" s="558"/>
    </row>
    <row r="7" spans="1:22" ht="15.75" customHeight="1">
      <c r="A7" s="558"/>
      <c r="B7" s="558"/>
      <c r="C7" s="558"/>
      <c r="D7" s="558"/>
      <c r="E7" s="557"/>
      <c r="F7" s="568"/>
      <c r="G7" s="562"/>
      <c r="H7" s="560"/>
      <c r="I7" s="557"/>
      <c r="J7" s="568"/>
      <c r="K7" s="562"/>
      <c r="L7" s="558"/>
      <c r="M7" s="558"/>
      <c r="N7" s="558"/>
      <c r="O7" s="558"/>
      <c r="P7" s="558"/>
      <c r="Q7" s="558"/>
      <c r="R7" s="558"/>
      <c r="S7" s="558"/>
      <c r="T7" s="558"/>
      <c r="U7" s="558"/>
      <c r="V7" s="558"/>
    </row>
    <row r="8" spans="1:22" ht="15.75" customHeight="1">
      <c r="A8" s="558"/>
      <c r="B8" s="558"/>
      <c r="C8" s="558"/>
      <c r="D8" s="558"/>
      <c r="E8" s="557"/>
      <c r="F8" s="568"/>
      <c r="G8" s="562"/>
      <c r="H8" s="560"/>
      <c r="I8" s="557"/>
      <c r="J8" s="568"/>
      <c r="K8" s="562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</row>
    <row r="9" spans="1:22" ht="16.8">
      <c r="A9" s="558"/>
      <c r="B9" s="845" t="s">
        <v>380</v>
      </c>
      <c r="C9" s="845"/>
      <c r="D9" s="845"/>
      <c r="E9" s="845"/>
      <c r="F9" s="845"/>
      <c r="G9" s="562"/>
      <c r="H9" s="845" t="s">
        <v>383</v>
      </c>
      <c r="I9" s="845"/>
      <c r="J9" s="845"/>
      <c r="K9" s="845"/>
      <c r="L9" s="845"/>
      <c r="M9" s="845"/>
      <c r="N9" s="558"/>
      <c r="O9" s="558"/>
      <c r="P9" s="558"/>
      <c r="Q9" s="558"/>
      <c r="R9" s="558"/>
      <c r="S9" s="558"/>
      <c r="T9" s="558"/>
      <c r="U9" s="558"/>
      <c r="V9" s="558"/>
    </row>
    <row r="10" spans="1:22">
      <c r="A10" s="558"/>
      <c r="B10" s="558"/>
      <c r="C10" s="558"/>
      <c r="D10" s="558"/>
      <c r="E10" s="557"/>
      <c r="F10" s="568"/>
      <c r="G10" s="562"/>
      <c r="H10" s="560"/>
      <c r="I10" s="557"/>
      <c r="J10" s="568"/>
      <c r="K10" s="562"/>
      <c r="L10" s="558"/>
      <c r="M10" s="558"/>
      <c r="N10" s="558"/>
      <c r="O10" s="558"/>
      <c r="P10" s="558"/>
      <c r="Q10" s="558"/>
      <c r="R10" s="558"/>
      <c r="S10" s="558"/>
      <c r="T10" s="558"/>
      <c r="U10" s="558"/>
      <c r="V10" s="558"/>
    </row>
    <row r="11" spans="1:22">
      <c r="A11" s="558"/>
      <c r="B11" s="843" t="s">
        <v>376</v>
      </c>
      <c r="C11" s="843"/>
      <c r="D11" s="843"/>
      <c r="E11" s="557"/>
      <c r="F11" s="568"/>
      <c r="G11" s="562"/>
      <c r="H11" s="843" t="s">
        <v>376</v>
      </c>
      <c r="I11" s="843"/>
      <c r="J11" s="843"/>
      <c r="K11" s="562"/>
      <c r="L11" s="558"/>
      <c r="M11" s="558"/>
      <c r="N11" s="558"/>
      <c r="O11" s="558"/>
      <c r="P11" s="558"/>
      <c r="Q11" s="558"/>
      <c r="R11" s="558"/>
      <c r="S11" s="558"/>
      <c r="T11" s="558"/>
      <c r="U11" s="558"/>
      <c r="V11" s="558"/>
    </row>
    <row r="12" spans="1:22">
      <c r="A12" s="558"/>
      <c r="B12" s="584" t="s">
        <v>543</v>
      </c>
      <c r="C12" s="570">
        <f>CMB!E183</f>
        <v>24.81009231441627</v>
      </c>
      <c r="D12" s="563" t="s">
        <v>375</v>
      </c>
      <c r="E12" s="557"/>
      <c r="F12" s="568"/>
      <c r="G12" s="562"/>
      <c r="H12" s="584" t="s">
        <v>543</v>
      </c>
      <c r="I12" s="570">
        <f>CMB!E184</f>
        <v>16.54006154294418</v>
      </c>
      <c r="J12" s="563" t="s">
        <v>375</v>
      </c>
      <c r="K12" s="562"/>
      <c r="L12" s="558"/>
      <c r="M12" s="558"/>
      <c r="N12" s="558"/>
      <c r="O12" s="558"/>
      <c r="P12" s="558"/>
      <c r="Q12" s="558"/>
      <c r="R12" s="558"/>
      <c r="S12" s="558"/>
      <c r="T12" s="558"/>
      <c r="U12" s="558"/>
      <c r="V12" s="558"/>
    </row>
    <row r="13" spans="1:22">
      <c r="A13" s="558"/>
      <c r="B13" s="584" t="s">
        <v>374</v>
      </c>
      <c r="C13" s="570">
        <f>AXA!$C$23</f>
        <v>16.788295731316005</v>
      </c>
      <c r="D13" s="563" t="s">
        <v>385</v>
      </c>
      <c r="E13" s="557"/>
      <c r="F13" s="568"/>
      <c r="G13" s="562"/>
      <c r="H13" s="584" t="s">
        <v>374</v>
      </c>
      <c r="I13" s="570">
        <f>90-AXA!$C$23</f>
        <v>73.211704268684002</v>
      </c>
      <c r="J13" s="563" t="s">
        <v>385</v>
      </c>
      <c r="K13" s="562"/>
      <c r="L13" s="558"/>
      <c r="M13" s="558"/>
      <c r="N13" s="558"/>
      <c r="O13" s="558"/>
      <c r="P13" s="558"/>
      <c r="Q13" s="558"/>
      <c r="R13" s="558"/>
      <c r="S13" s="558"/>
      <c r="T13" s="558"/>
      <c r="U13" s="558"/>
      <c r="V13" s="558"/>
    </row>
    <row r="14" spans="1:22">
      <c r="A14" s="558"/>
      <c r="B14" s="584" t="s">
        <v>374</v>
      </c>
      <c r="C14" s="570">
        <f>RADIANS(C13)</f>
        <v>0.2930110363099736</v>
      </c>
      <c r="D14" s="563" t="s">
        <v>384</v>
      </c>
      <c r="E14" s="557"/>
      <c r="F14" s="568"/>
      <c r="G14" s="562"/>
      <c r="H14" s="584" t="s">
        <v>374</v>
      </c>
      <c r="I14" s="570">
        <f>RADIANS(I13)</f>
        <v>1.2777852904849232</v>
      </c>
      <c r="J14" s="563" t="s">
        <v>384</v>
      </c>
      <c r="K14" s="562"/>
      <c r="L14" s="558"/>
      <c r="M14" s="558"/>
      <c r="N14" s="558"/>
      <c r="O14" s="558"/>
      <c r="P14" s="558"/>
      <c r="Q14" s="558"/>
      <c r="R14" s="558"/>
      <c r="S14" s="558"/>
      <c r="T14" s="558"/>
      <c r="U14" s="558"/>
      <c r="V14" s="558"/>
    </row>
    <row r="15" spans="1:22">
      <c r="A15" s="558"/>
      <c r="B15" s="584" t="s">
        <v>17</v>
      </c>
      <c r="C15" s="569">
        <f>DSB!$C$32</f>
        <v>8</v>
      </c>
      <c r="D15" s="563" t="s">
        <v>266</v>
      </c>
      <c r="E15" s="557"/>
      <c r="F15" s="568"/>
      <c r="G15" s="562"/>
      <c r="H15" s="584" t="s">
        <v>17</v>
      </c>
      <c r="I15" s="569">
        <f>DSB!$C$32</f>
        <v>8</v>
      </c>
      <c r="J15" s="563" t="s">
        <v>266</v>
      </c>
      <c r="K15" s="562"/>
      <c r="L15" s="558"/>
      <c r="M15" s="558"/>
      <c r="N15" s="558"/>
      <c r="O15" s="558"/>
      <c r="P15" s="558"/>
      <c r="Q15" s="558"/>
      <c r="R15" s="558"/>
      <c r="S15" s="558"/>
      <c r="T15" s="558"/>
      <c r="U15" s="558"/>
      <c r="V15" s="558"/>
    </row>
    <row r="16" spans="1:22">
      <c r="A16" s="558"/>
      <c r="B16" s="584" t="s">
        <v>544</v>
      </c>
      <c r="C16" s="570">
        <f>RST!$N$8</f>
        <v>1.6</v>
      </c>
      <c r="D16" s="563" t="s">
        <v>265</v>
      </c>
      <c r="E16" s="557"/>
      <c r="F16" s="568"/>
      <c r="G16" s="562"/>
      <c r="H16" s="584" t="s">
        <v>544</v>
      </c>
      <c r="I16" s="570">
        <f>RST!$N$8</f>
        <v>1.6</v>
      </c>
      <c r="J16" s="563" t="s">
        <v>265</v>
      </c>
      <c r="K16" s="562"/>
      <c r="L16" s="558"/>
      <c r="M16" s="558"/>
      <c r="N16" s="558"/>
      <c r="O16" s="558"/>
      <c r="P16" s="558"/>
      <c r="Q16" s="558"/>
      <c r="R16" s="558"/>
      <c r="S16" s="558"/>
      <c r="T16" s="558"/>
      <c r="U16" s="558"/>
      <c r="V16" s="558"/>
    </row>
    <row r="17" spans="1:22">
      <c r="A17" s="558"/>
      <c r="B17" s="584" t="s">
        <v>545</v>
      </c>
      <c r="C17" s="570">
        <f>0.25*C16</f>
        <v>0.4</v>
      </c>
      <c r="D17" s="563" t="s">
        <v>265</v>
      </c>
      <c r="E17" s="557"/>
      <c r="F17" s="568"/>
      <c r="G17" s="562"/>
      <c r="H17" s="584" t="s">
        <v>545</v>
      </c>
      <c r="I17" s="570">
        <f>0.25*I16</f>
        <v>0.4</v>
      </c>
      <c r="J17" s="563" t="s">
        <v>265</v>
      </c>
      <c r="K17" s="562"/>
      <c r="L17" s="558"/>
      <c r="M17" s="558"/>
      <c r="N17" s="558"/>
      <c r="O17" s="558"/>
      <c r="P17" s="558"/>
      <c r="Q17" s="558"/>
      <c r="R17" s="558"/>
      <c r="S17" s="558"/>
      <c r="T17" s="558"/>
      <c r="U17" s="558"/>
      <c r="V17" s="558"/>
    </row>
    <row r="18" spans="1:22">
      <c r="A18" s="558"/>
      <c r="B18" s="585" t="s">
        <v>546</v>
      </c>
      <c r="C18" s="578">
        <f>C16*C17/(C16*SIN(C14)^2+C17*COS(C14)^2)</f>
        <v>1.2797142592389794</v>
      </c>
      <c r="D18" s="577" t="s">
        <v>265</v>
      </c>
      <c r="E18" s="557"/>
      <c r="F18" s="568"/>
      <c r="G18" s="562"/>
      <c r="H18" s="584" t="s">
        <v>546</v>
      </c>
      <c r="I18" s="570">
        <f>I16*I17/(I16*SIN(I14)^2+I17*COS(I14)^2)</f>
        <v>0.42669842509290179</v>
      </c>
      <c r="J18" s="563" t="s">
        <v>265</v>
      </c>
      <c r="K18" s="562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</row>
    <row r="19" spans="1:22">
      <c r="A19" s="558"/>
      <c r="B19" s="844" t="s">
        <v>378</v>
      </c>
      <c r="C19" s="844"/>
      <c r="D19" s="844"/>
      <c r="E19" s="557"/>
      <c r="F19" s="568"/>
      <c r="G19" s="562"/>
      <c r="H19" s="844" t="s">
        <v>378</v>
      </c>
      <c r="I19" s="844"/>
      <c r="J19" s="844"/>
      <c r="K19" s="562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</row>
    <row r="20" spans="1:22">
      <c r="A20" s="558"/>
      <c r="B20" s="584" t="s">
        <v>25</v>
      </c>
      <c r="C20" s="570">
        <f>C12*COS(C14)/(C15*C18)</f>
        <v>2.3201126051705629</v>
      </c>
      <c r="D20" s="563" t="s">
        <v>266</v>
      </c>
      <c r="E20" s="557"/>
      <c r="F20" s="568"/>
      <c r="G20" s="562"/>
      <c r="H20" s="584" t="s">
        <v>25</v>
      </c>
      <c r="I20" s="570">
        <f>I12*COS(I14)/(I15*I18)</f>
        <v>1.3995156664532722</v>
      </c>
      <c r="J20" s="563" t="s">
        <v>266</v>
      </c>
      <c r="K20" s="562"/>
      <c r="L20" s="558"/>
      <c r="M20" s="558"/>
      <c r="N20" s="558"/>
      <c r="O20" s="558"/>
      <c r="P20" s="558"/>
      <c r="Q20" s="558"/>
      <c r="R20" s="558"/>
      <c r="S20" s="558"/>
      <c r="T20" s="558"/>
      <c r="U20" s="558"/>
      <c r="V20" s="558"/>
    </row>
    <row r="21" spans="1:22">
      <c r="A21" s="558"/>
      <c r="B21" s="584" t="s">
        <v>547</v>
      </c>
      <c r="C21" s="569">
        <f>_xlfn.CEILING.MATH(C20,0.5)</f>
        <v>2.5</v>
      </c>
      <c r="D21" s="563" t="s">
        <v>266</v>
      </c>
      <c r="E21" s="557"/>
      <c r="F21" s="568"/>
      <c r="G21" s="562"/>
      <c r="H21" s="584" t="s">
        <v>555</v>
      </c>
      <c r="I21" s="569">
        <f>_xlfn.CEILING.MATH(I20,0.5)</f>
        <v>1.5</v>
      </c>
      <c r="J21" s="563" t="s">
        <v>266</v>
      </c>
      <c r="K21" s="562"/>
      <c r="L21" s="558"/>
      <c r="M21" s="558"/>
      <c r="N21" s="558"/>
      <c r="O21" s="558"/>
      <c r="P21" s="558"/>
      <c r="Q21" s="558"/>
      <c r="R21" s="558"/>
      <c r="S21" s="558"/>
      <c r="T21" s="558"/>
      <c r="U21" s="558"/>
      <c r="V21" s="558"/>
    </row>
    <row r="22" spans="1:22">
      <c r="A22" s="558"/>
      <c r="B22" s="584" t="s">
        <v>548</v>
      </c>
      <c r="C22" s="569">
        <f>DSB!$C$34/4</f>
        <v>2.5</v>
      </c>
      <c r="D22" s="563" t="s">
        <v>266</v>
      </c>
      <c r="E22" s="557"/>
      <c r="F22" s="568"/>
      <c r="G22" s="562"/>
      <c r="H22" s="584" t="s">
        <v>556</v>
      </c>
      <c r="I22" s="569">
        <f>DSB!$C$34/8</f>
        <v>1.25</v>
      </c>
      <c r="J22" s="563" t="s">
        <v>266</v>
      </c>
      <c r="K22" s="564"/>
      <c r="L22" s="558"/>
      <c r="M22" s="558"/>
      <c r="N22" s="558"/>
      <c r="O22" s="558"/>
      <c r="P22" s="558"/>
      <c r="Q22" s="558"/>
      <c r="R22" s="558"/>
      <c r="S22" s="558"/>
      <c r="T22" s="558"/>
      <c r="U22" s="558"/>
      <c r="V22" s="558"/>
    </row>
    <row r="23" spans="1:22">
      <c r="A23" s="558"/>
      <c r="B23" s="584" t="s">
        <v>549</v>
      </c>
      <c r="C23" s="569">
        <f>DSB!$C$34/8</f>
        <v>1.25</v>
      </c>
      <c r="D23" s="563" t="s">
        <v>266</v>
      </c>
      <c r="E23" s="557"/>
      <c r="F23" s="568"/>
      <c r="G23" s="562"/>
      <c r="H23" s="584" t="s">
        <v>557</v>
      </c>
      <c r="I23" s="569">
        <f>DSB!$C$34/16</f>
        <v>0.625</v>
      </c>
      <c r="J23" s="563" t="s">
        <v>266</v>
      </c>
      <c r="K23" s="564"/>
      <c r="L23" s="558"/>
      <c r="M23" s="558"/>
      <c r="N23" s="558"/>
      <c r="O23" s="558"/>
      <c r="P23" s="558"/>
      <c r="Q23" s="558"/>
      <c r="R23" s="558"/>
      <c r="S23" s="558"/>
      <c r="T23" s="558"/>
      <c r="U23" s="558"/>
      <c r="V23" s="558"/>
    </row>
    <row r="24" spans="1:22">
      <c r="A24" s="558"/>
      <c r="B24" s="584" t="s">
        <v>550</v>
      </c>
      <c r="C24" s="569">
        <f>IF(C22&lt;C21,C22,IF(C21&lt;C23,C23,C21))</f>
        <v>2.5</v>
      </c>
      <c r="D24" s="563" t="s">
        <v>266</v>
      </c>
      <c r="E24" s="557"/>
      <c r="F24" s="568"/>
      <c r="G24" s="562"/>
      <c r="H24" s="584" t="s">
        <v>558</v>
      </c>
      <c r="I24" s="569">
        <f>IF(I22&lt;I21,I22,IF(I21&lt;I23,I23,I21))</f>
        <v>1.25</v>
      </c>
      <c r="J24" s="563" t="s">
        <v>266</v>
      </c>
      <c r="K24" s="564"/>
      <c r="L24" s="558"/>
      <c r="M24" s="558"/>
      <c r="N24" s="558"/>
      <c r="O24" s="558"/>
      <c r="P24" s="558"/>
      <c r="Q24" s="558"/>
      <c r="R24" s="558"/>
      <c r="S24" s="558"/>
      <c r="T24" s="558"/>
      <c r="U24" s="558"/>
      <c r="V24" s="558"/>
    </row>
    <row r="25" spans="1:22">
      <c r="A25" s="558"/>
      <c r="B25" s="576" t="s">
        <v>377</v>
      </c>
      <c r="C25" s="843" t="str">
        <f>IF(C21&gt;C22,"Não Atende","Atende")</f>
        <v>Atende</v>
      </c>
      <c r="D25" s="843"/>
      <c r="E25" s="557"/>
      <c r="F25" s="568"/>
      <c r="G25" s="562"/>
      <c r="H25" s="559" t="s">
        <v>377</v>
      </c>
      <c r="I25" s="843" t="str">
        <f>IF(I21&gt;I22,"Não Atende","Atende")</f>
        <v>Não Atende</v>
      </c>
      <c r="J25" s="843"/>
      <c r="K25" s="564"/>
      <c r="L25" s="558"/>
      <c r="M25" s="558"/>
      <c r="N25" s="558"/>
      <c r="O25" s="558"/>
      <c r="P25" s="558"/>
      <c r="Q25" s="558"/>
      <c r="R25" s="558"/>
      <c r="S25" s="558"/>
      <c r="T25" s="558"/>
      <c r="U25" s="558"/>
      <c r="V25" s="558"/>
    </row>
    <row r="26" spans="1:22">
      <c r="A26" s="558"/>
      <c r="B26" s="844" t="s">
        <v>379</v>
      </c>
      <c r="C26" s="844"/>
      <c r="D26" s="844"/>
      <c r="E26" s="557"/>
      <c r="F26" s="568"/>
      <c r="G26" s="562"/>
      <c r="H26" s="844" t="s">
        <v>379</v>
      </c>
      <c r="I26" s="844"/>
      <c r="J26" s="844"/>
      <c r="K26" s="564"/>
      <c r="L26" s="558"/>
      <c r="M26" s="558"/>
      <c r="N26" s="558"/>
      <c r="O26" s="558"/>
      <c r="P26" s="558"/>
      <c r="Q26" s="558"/>
      <c r="R26" s="558"/>
      <c r="S26" s="558"/>
      <c r="T26" s="558"/>
      <c r="U26" s="558"/>
      <c r="V26" s="558"/>
    </row>
    <row r="27" spans="1:22">
      <c r="A27" s="558"/>
      <c r="B27" s="584" t="s">
        <v>551</v>
      </c>
      <c r="C27" s="570">
        <f>RST!$N$10</f>
        <v>0.17499999999999999</v>
      </c>
      <c r="D27" s="563" t="s">
        <v>265</v>
      </c>
      <c r="E27" s="557"/>
      <c r="F27" s="568"/>
      <c r="G27" s="562"/>
      <c r="H27" s="584" t="s">
        <v>551</v>
      </c>
      <c r="I27" s="570">
        <f>RST!$N$10</f>
        <v>0.17499999999999999</v>
      </c>
      <c r="J27" s="563" t="s">
        <v>265</v>
      </c>
      <c r="K27" s="564"/>
      <c r="L27" s="558"/>
      <c r="M27" s="558"/>
      <c r="N27" s="558"/>
      <c r="O27" s="558"/>
      <c r="P27" s="558"/>
      <c r="Q27" s="558"/>
      <c r="R27" s="558"/>
      <c r="S27" s="558"/>
      <c r="T27" s="558"/>
      <c r="U27" s="558"/>
      <c r="V27" s="558"/>
    </row>
    <row r="28" spans="1:22">
      <c r="A28" s="558"/>
      <c r="B28" s="584" t="s">
        <v>26</v>
      </c>
      <c r="C28" s="570">
        <f>C12*COS(C14)/(C15*C27)</f>
        <v>16.966178193582092</v>
      </c>
      <c r="D28" s="563" t="s">
        <v>266</v>
      </c>
      <c r="E28" s="560"/>
      <c r="F28" s="571"/>
      <c r="G28" s="564"/>
      <c r="H28" s="584" t="s">
        <v>26</v>
      </c>
      <c r="I28" s="570">
        <f>I12*COS(I14)/(I15*I27)</f>
        <v>3.4124064615340233</v>
      </c>
      <c r="J28" s="563" t="s">
        <v>266</v>
      </c>
      <c r="K28" s="564"/>
      <c r="L28" s="558"/>
      <c r="M28" s="558"/>
      <c r="N28" s="558"/>
      <c r="O28" s="558"/>
      <c r="P28" s="558"/>
      <c r="Q28" s="558"/>
      <c r="R28" s="558"/>
      <c r="S28" s="558"/>
      <c r="T28" s="558"/>
      <c r="U28" s="558"/>
      <c r="V28" s="558"/>
    </row>
    <row r="29" spans="1:22">
      <c r="A29" s="558"/>
      <c r="B29" s="584" t="s">
        <v>552</v>
      </c>
      <c r="C29" s="569">
        <f>_xlfn.CEILING.MATH(C28,0.5)</f>
        <v>17</v>
      </c>
      <c r="D29" s="563" t="s">
        <v>266</v>
      </c>
      <c r="E29" s="558"/>
      <c r="F29" s="558"/>
      <c r="G29" s="558"/>
      <c r="H29" s="584" t="s">
        <v>552</v>
      </c>
      <c r="I29" s="569">
        <f>_xlfn.CEILING.MATH(I28,0.5)</f>
        <v>3.5</v>
      </c>
      <c r="J29" s="563" t="s">
        <v>266</v>
      </c>
      <c r="K29" s="558"/>
      <c r="L29" s="558"/>
      <c r="M29" s="558"/>
      <c r="N29" s="558"/>
      <c r="O29" s="558"/>
      <c r="P29" s="558"/>
      <c r="Q29" s="558"/>
      <c r="R29" s="558"/>
      <c r="S29" s="558"/>
      <c r="T29" s="558"/>
      <c r="U29" s="558"/>
      <c r="V29" s="558"/>
    </row>
    <row r="30" spans="1:22">
      <c r="A30" s="558"/>
      <c r="B30" s="584" t="s">
        <v>553</v>
      </c>
      <c r="C30" s="569">
        <v>15</v>
      </c>
      <c r="D30" s="563" t="s">
        <v>266</v>
      </c>
      <c r="E30" s="558"/>
      <c r="F30" s="558"/>
      <c r="G30" s="558"/>
      <c r="H30" s="584" t="s">
        <v>559</v>
      </c>
      <c r="I30" s="569">
        <v>15</v>
      </c>
      <c r="J30" s="563" t="s">
        <v>266</v>
      </c>
      <c r="K30" s="558"/>
      <c r="L30" s="558"/>
      <c r="M30" s="558"/>
      <c r="N30" s="558"/>
      <c r="O30" s="558"/>
      <c r="P30" s="558"/>
      <c r="Q30" s="558"/>
      <c r="R30" s="558"/>
      <c r="S30" s="558"/>
      <c r="T30" s="558"/>
      <c r="U30" s="558"/>
      <c r="V30" s="558"/>
    </row>
    <row r="31" spans="1:22">
      <c r="A31" s="558"/>
      <c r="B31" s="584" t="s">
        <v>554</v>
      </c>
      <c r="C31" s="569">
        <f>IF(C29&gt;C30,C29,C30)</f>
        <v>17</v>
      </c>
      <c r="D31" s="563" t="s">
        <v>266</v>
      </c>
      <c r="E31" s="558"/>
      <c r="F31" s="558"/>
      <c r="G31" s="558"/>
      <c r="H31" s="584" t="s">
        <v>560</v>
      </c>
      <c r="I31" s="569">
        <f>IF(I29&gt;I30,I29,I30)</f>
        <v>15</v>
      </c>
      <c r="J31" s="563" t="s">
        <v>266</v>
      </c>
      <c r="K31" s="558"/>
      <c r="L31" s="558"/>
      <c r="M31" s="558"/>
      <c r="N31" s="558"/>
      <c r="O31" s="558"/>
      <c r="P31" s="558"/>
      <c r="Q31" s="558"/>
      <c r="R31" s="558"/>
      <c r="S31" s="558"/>
      <c r="T31" s="558"/>
      <c r="U31" s="558"/>
      <c r="V31" s="558"/>
    </row>
    <row r="32" spans="1:22">
      <c r="A32" s="558"/>
      <c r="B32" s="558"/>
      <c r="C32" s="558"/>
      <c r="D32" s="558"/>
      <c r="E32" s="558"/>
      <c r="F32" s="558"/>
      <c r="G32" s="558"/>
      <c r="H32" s="557"/>
      <c r="I32" s="557"/>
      <c r="J32" s="568"/>
      <c r="K32" s="558"/>
      <c r="L32" s="558"/>
      <c r="M32" s="558"/>
      <c r="N32" s="558"/>
      <c r="O32" s="558"/>
      <c r="P32" s="558"/>
      <c r="Q32" s="558"/>
      <c r="R32" s="558"/>
      <c r="S32" s="558"/>
      <c r="T32" s="558"/>
      <c r="U32" s="558"/>
      <c r="V32" s="558"/>
    </row>
    <row r="33" spans="1:22" ht="16.8">
      <c r="A33" s="558"/>
      <c r="B33" s="845" t="s">
        <v>382</v>
      </c>
      <c r="C33" s="845"/>
      <c r="D33" s="845"/>
      <c r="E33" s="845"/>
      <c r="F33" s="845"/>
      <c r="G33" s="583"/>
      <c r="H33" s="845" t="s">
        <v>381</v>
      </c>
      <c r="I33" s="845"/>
      <c r="J33" s="845"/>
      <c r="K33" s="845"/>
      <c r="L33" s="845"/>
      <c r="M33" s="845"/>
      <c r="N33" s="845"/>
      <c r="O33" s="845"/>
      <c r="P33" s="558"/>
      <c r="Q33" s="558"/>
      <c r="R33" s="558"/>
      <c r="S33" s="558"/>
      <c r="T33" s="558"/>
      <c r="U33" s="558"/>
      <c r="V33" s="558"/>
    </row>
    <row r="34" spans="1:22">
      <c r="A34" s="558"/>
      <c r="B34" s="558"/>
      <c r="C34" s="558"/>
      <c r="D34" s="558"/>
      <c r="E34" s="558"/>
      <c r="F34" s="558"/>
      <c r="G34" s="558"/>
      <c r="H34" s="557"/>
      <c r="I34" s="557"/>
      <c r="J34" s="568"/>
      <c r="K34" s="558"/>
      <c r="L34" s="558"/>
      <c r="M34" s="558"/>
      <c r="N34" s="558"/>
      <c r="O34" s="558"/>
      <c r="P34" s="558"/>
      <c r="Q34" s="558"/>
      <c r="R34" s="558"/>
      <c r="S34" s="558"/>
      <c r="T34" s="558"/>
      <c r="U34" s="558"/>
      <c r="V34" s="558"/>
    </row>
    <row r="35" spans="1:22">
      <c r="A35" s="558"/>
      <c r="B35" s="843" t="s">
        <v>376</v>
      </c>
      <c r="C35" s="843"/>
      <c r="D35" s="843"/>
      <c r="E35" s="558"/>
      <c r="F35" s="558"/>
      <c r="G35" s="558"/>
      <c r="H35" s="843" t="s">
        <v>376</v>
      </c>
      <c r="I35" s="843"/>
      <c r="J35" s="843"/>
      <c r="K35" s="558"/>
      <c r="L35" s="558"/>
      <c r="M35" s="558"/>
      <c r="N35" s="558"/>
      <c r="O35" s="558"/>
      <c r="P35" s="558"/>
      <c r="Q35" s="558"/>
      <c r="R35" s="558"/>
      <c r="S35" s="558"/>
      <c r="T35" s="558"/>
      <c r="U35" s="558"/>
      <c r="V35" s="558"/>
    </row>
    <row r="36" spans="1:22">
      <c r="A36" s="558"/>
      <c r="B36" s="584" t="s">
        <v>543</v>
      </c>
      <c r="C36" s="570">
        <f>CMB!E186</f>
        <v>8.27003077147209</v>
      </c>
      <c r="D36" s="563" t="s">
        <v>375</v>
      </c>
      <c r="E36" s="558"/>
      <c r="F36" s="558"/>
      <c r="G36" s="558"/>
      <c r="H36" s="584" t="s">
        <v>543</v>
      </c>
      <c r="I36" s="570">
        <f>CMB!E186</f>
        <v>8.27003077147209</v>
      </c>
      <c r="J36" s="563" t="s">
        <v>375</v>
      </c>
      <c r="K36" s="558"/>
      <c r="L36" s="558"/>
      <c r="M36" s="558"/>
      <c r="N36" s="558"/>
      <c r="O36" s="558"/>
      <c r="P36" s="558"/>
      <c r="Q36" s="558"/>
      <c r="R36" s="558"/>
      <c r="S36" s="558"/>
      <c r="T36" s="558"/>
      <c r="U36" s="558"/>
      <c r="V36" s="558"/>
    </row>
    <row r="37" spans="1:22">
      <c r="A37" s="558"/>
      <c r="B37" s="584" t="s">
        <v>374</v>
      </c>
      <c r="C37" s="570">
        <f>2*AXA!$C$23</f>
        <v>33.57659146263201</v>
      </c>
      <c r="D37" s="563" t="s">
        <v>385</v>
      </c>
      <c r="E37" s="558"/>
      <c r="F37" s="558"/>
      <c r="G37" s="558"/>
      <c r="H37" s="584" t="s">
        <v>374</v>
      </c>
      <c r="I37" s="570">
        <f>90-AXA!$C$23</f>
        <v>73.211704268684002</v>
      </c>
      <c r="J37" s="563" t="s">
        <v>385</v>
      </c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</row>
    <row r="38" spans="1:22">
      <c r="A38" s="558"/>
      <c r="B38" s="584" t="s">
        <v>374</v>
      </c>
      <c r="C38" s="570">
        <f>RADIANS(C37)</f>
        <v>0.58602207261994721</v>
      </c>
      <c r="D38" s="563" t="s">
        <v>384</v>
      </c>
      <c r="E38" s="558"/>
      <c r="F38" s="558"/>
      <c r="G38" s="558"/>
      <c r="H38" s="584" t="s">
        <v>374</v>
      </c>
      <c r="I38" s="570">
        <f>RADIANS(I37)</f>
        <v>1.2777852904849232</v>
      </c>
      <c r="J38" s="563" t="s">
        <v>384</v>
      </c>
      <c r="K38" s="558"/>
      <c r="L38" s="558"/>
      <c r="M38" s="558"/>
      <c r="N38" s="558"/>
      <c r="O38" s="558"/>
      <c r="P38" s="558"/>
      <c r="Q38" s="558"/>
      <c r="R38" s="558"/>
      <c r="S38" s="558"/>
      <c r="T38" s="558"/>
      <c r="U38" s="558"/>
      <c r="V38" s="558"/>
    </row>
    <row r="39" spans="1:22">
      <c r="A39" s="558"/>
      <c r="B39" s="584" t="s">
        <v>17</v>
      </c>
      <c r="C39" s="569">
        <f>DSB!$C$32</f>
        <v>8</v>
      </c>
      <c r="D39" s="563" t="s">
        <v>266</v>
      </c>
      <c r="E39" s="558"/>
      <c r="F39" s="558"/>
      <c r="G39" s="558"/>
      <c r="H39" s="584" t="s">
        <v>17</v>
      </c>
      <c r="I39" s="569">
        <f>DSB!$C$32</f>
        <v>8</v>
      </c>
      <c r="J39" s="563" t="s">
        <v>266</v>
      </c>
      <c r="K39" s="558"/>
      <c r="L39" s="558"/>
      <c r="M39" s="558"/>
      <c r="N39" s="558"/>
      <c r="O39" s="558"/>
      <c r="P39" s="558"/>
      <c r="Q39" s="558"/>
      <c r="R39" s="558"/>
      <c r="S39" s="558"/>
      <c r="T39" s="558"/>
      <c r="U39" s="558"/>
      <c r="V39" s="558"/>
    </row>
    <row r="40" spans="1:22">
      <c r="A40" s="558"/>
      <c r="B40" s="584" t="s">
        <v>544</v>
      </c>
      <c r="C40" s="570">
        <f>RST!$N$8</f>
        <v>1.6</v>
      </c>
      <c r="D40" s="563" t="s">
        <v>265</v>
      </c>
      <c r="E40" s="558"/>
      <c r="F40" s="558"/>
      <c r="G40" s="558"/>
      <c r="H40" s="584" t="s">
        <v>544</v>
      </c>
      <c r="I40" s="570">
        <f>RST!$N$8</f>
        <v>1.6</v>
      </c>
      <c r="J40" s="563" t="s">
        <v>265</v>
      </c>
      <c r="K40" s="558"/>
      <c r="L40" s="558"/>
      <c r="M40" s="558"/>
      <c r="N40" s="558"/>
      <c r="O40" s="558"/>
      <c r="P40" s="558"/>
      <c r="Q40" s="558"/>
      <c r="R40" s="558"/>
      <c r="S40" s="558"/>
      <c r="T40" s="558"/>
      <c r="U40" s="558"/>
      <c r="V40" s="558"/>
    </row>
    <row r="41" spans="1:22">
      <c r="A41" s="558"/>
      <c r="B41" s="584" t="s">
        <v>545</v>
      </c>
      <c r="C41" s="570">
        <f>0.25*C40</f>
        <v>0.4</v>
      </c>
      <c r="D41" s="563" t="s">
        <v>265</v>
      </c>
      <c r="E41" s="558"/>
      <c r="F41" s="558"/>
      <c r="G41" s="558"/>
      <c r="H41" s="584" t="s">
        <v>545</v>
      </c>
      <c r="I41" s="570">
        <f>0.25*I40</f>
        <v>0.4</v>
      </c>
      <c r="J41" s="563" t="s">
        <v>265</v>
      </c>
      <c r="K41" s="558"/>
      <c r="L41" s="558"/>
      <c r="M41" s="558"/>
      <c r="N41" s="558"/>
      <c r="O41" s="558"/>
      <c r="P41" s="558"/>
      <c r="Q41" s="558"/>
      <c r="R41" s="558"/>
      <c r="S41" s="558"/>
      <c r="T41" s="558"/>
      <c r="U41" s="558"/>
      <c r="V41" s="558"/>
    </row>
    <row r="42" spans="1:22">
      <c r="A42" s="558"/>
      <c r="B42" s="584" t="s">
        <v>546</v>
      </c>
      <c r="C42" s="570">
        <f>C40*C41/(C40*SIN(C38)^2+C41*COS(C38)^2)</f>
        <v>0.83437764552518545</v>
      </c>
      <c r="D42" s="563" t="s">
        <v>265</v>
      </c>
      <c r="E42" s="558"/>
      <c r="F42" s="558"/>
      <c r="G42" s="558"/>
      <c r="H42" s="585" t="s">
        <v>546</v>
      </c>
      <c r="I42" s="578">
        <f>I40*I41/(I40*SIN(I38)^2+I41*COS(I38)^2)</f>
        <v>0.42669842509290179</v>
      </c>
      <c r="J42" s="577" t="s">
        <v>265</v>
      </c>
      <c r="K42" s="558"/>
      <c r="L42" s="558"/>
      <c r="M42" s="558"/>
      <c r="N42" s="558"/>
      <c r="O42" s="558"/>
      <c r="P42" s="558"/>
      <c r="Q42" s="558"/>
      <c r="R42" s="558"/>
      <c r="S42" s="558"/>
      <c r="T42" s="558"/>
      <c r="U42" s="558"/>
      <c r="V42" s="558"/>
    </row>
    <row r="43" spans="1:22">
      <c r="A43" s="558"/>
      <c r="B43" s="844" t="s">
        <v>378</v>
      </c>
      <c r="C43" s="844"/>
      <c r="D43" s="844"/>
      <c r="E43" s="558"/>
      <c r="F43" s="558"/>
      <c r="G43" s="558"/>
      <c r="H43" s="844" t="s">
        <v>378</v>
      </c>
      <c r="I43" s="844"/>
      <c r="J43" s="844"/>
      <c r="K43" s="558"/>
      <c r="L43" s="558"/>
      <c r="M43" s="558"/>
      <c r="N43" s="558"/>
      <c r="O43" s="558"/>
      <c r="P43" s="558"/>
      <c r="Q43" s="558"/>
      <c r="R43" s="558"/>
      <c r="S43" s="558"/>
      <c r="T43" s="558"/>
      <c r="U43" s="558"/>
      <c r="V43" s="558"/>
    </row>
    <row r="44" spans="1:22">
      <c r="A44" s="558"/>
      <c r="B44" s="584" t="s">
        <v>25</v>
      </c>
      <c r="C44" s="570">
        <f>C36*COS(C38)/(C39*C42)</f>
        <v>1.0322294611248946</v>
      </c>
      <c r="D44" s="563" t="s">
        <v>266</v>
      </c>
      <c r="E44" s="561"/>
      <c r="F44" s="572"/>
      <c r="G44" s="565"/>
      <c r="H44" s="584" t="s">
        <v>25</v>
      </c>
      <c r="I44" s="570">
        <f>I36*COS(I38)/(I39*I42)</f>
        <v>0.69975783322663609</v>
      </c>
      <c r="J44" s="563" t="s">
        <v>266</v>
      </c>
      <c r="K44" s="558"/>
      <c r="L44" s="558"/>
      <c r="M44" s="558"/>
      <c r="N44" s="558"/>
      <c r="O44" s="558"/>
      <c r="P44" s="558"/>
      <c r="Q44" s="558"/>
      <c r="R44" s="558"/>
      <c r="S44" s="558"/>
      <c r="T44" s="558"/>
      <c r="U44" s="558"/>
      <c r="V44" s="558"/>
    </row>
    <row r="45" spans="1:22">
      <c r="A45" s="558"/>
      <c r="B45" s="584" t="s">
        <v>547</v>
      </c>
      <c r="C45" s="569">
        <f>_xlfn.CEILING.MATH(C44,0.5)</f>
        <v>1.5</v>
      </c>
      <c r="D45" s="563" t="s">
        <v>266</v>
      </c>
      <c r="E45" s="561"/>
      <c r="F45" s="572"/>
      <c r="G45" s="565"/>
      <c r="H45" s="584" t="s">
        <v>555</v>
      </c>
      <c r="I45" s="569">
        <f>_xlfn.CEILING.MATH(I44,0.5)</f>
        <v>1</v>
      </c>
      <c r="J45" s="563" t="s">
        <v>266</v>
      </c>
      <c r="K45" s="558"/>
      <c r="L45" s="558"/>
      <c r="M45" s="558"/>
      <c r="N45" s="558"/>
      <c r="O45" s="558"/>
      <c r="P45" s="558"/>
      <c r="Q45" s="558"/>
      <c r="R45" s="558"/>
      <c r="S45" s="558"/>
      <c r="T45" s="558"/>
      <c r="U45" s="558"/>
      <c r="V45" s="558"/>
    </row>
    <row r="46" spans="1:22">
      <c r="A46" s="558"/>
      <c r="B46" s="584" t="s">
        <v>548</v>
      </c>
      <c r="C46" s="569">
        <f>DSB!$C$34/4</f>
        <v>2.5</v>
      </c>
      <c r="D46" s="563" t="s">
        <v>266</v>
      </c>
      <c r="E46" s="561"/>
      <c r="F46" s="572"/>
      <c r="G46" s="565"/>
      <c r="H46" s="584" t="s">
        <v>556</v>
      </c>
      <c r="I46" s="569">
        <f>DSB!$C$34/8</f>
        <v>1.25</v>
      </c>
      <c r="J46" s="563" t="s">
        <v>266</v>
      </c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</row>
    <row r="47" spans="1:22">
      <c r="A47" s="558"/>
      <c r="B47" s="584" t="s">
        <v>549</v>
      </c>
      <c r="C47" s="569">
        <f>DSB!$C$34/8</f>
        <v>1.25</v>
      </c>
      <c r="D47" s="563" t="s">
        <v>266</v>
      </c>
      <c r="E47" s="561"/>
      <c r="F47" s="572"/>
      <c r="G47" s="565"/>
      <c r="H47" s="584" t="s">
        <v>557</v>
      </c>
      <c r="I47" s="569">
        <f>DSB!$C$34/16</f>
        <v>0.625</v>
      </c>
      <c r="J47" s="563" t="s">
        <v>266</v>
      </c>
      <c r="K47" s="558"/>
      <c r="L47" s="558"/>
      <c r="M47" s="558"/>
      <c r="N47" s="558"/>
      <c r="O47" s="558"/>
      <c r="P47" s="558"/>
      <c r="Q47" s="558"/>
      <c r="R47" s="558"/>
      <c r="S47" s="558"/>
      <c r="T47" s="558"/>
      <c r="U47" s="558"/>
      <c r="V47" s="558"/>
    </row>
    <row r="48" spans="1:22">
      <c r="A48" s="558"/>
      <c r="B48" s="584" t="s">
        <v>550</v>
      </c>
      <c r="C48" s="569">
        <f>IF(C46&lt;C45,C46,IF(C45&lt;C47,C47,C45))</f>
        <v>1.5</v>
      </c>
      <c r="D48" s="563" t="s">
        <v>266</v>
      </c>
      <c r="E48" s="561"/>
      <c r="F48" s="572"/>
      <c r="G48" s="565"/>
      <c r="H48" s="584" t="s">
        <v>558</v>
      </c>
      <c r="I48" s="569">
        <f>IF(I46&lt;I45,I46,IF(I45&lt;I47,I47,I45))</f>
        <v>1</v>
      </c>
      <c r="J48" s="563" t="s">
        <v>266</v>
      </c>
      <c r="K48" s="558"/>
      <c r="L48" s="558"/>
      <c r="M48" s="558"/>
      <c r="N48" s="558"/>
      <c r="O48" s="558"/>
      <c r="P48" s="558"/>
      <c r="Q48" s="558"/>
      <c r="R48" s="558"/>
      <c r="S48" s="558"/>
      <c r="T48" s="558"/>
      <c r="U48" s="558"/>
      <c r="V48" s="558"/>
    </row>
    <row r="49" spans="1:22">
      <c r="A49" s="558"/>
      <c r="B49" s="559" t="s">
        <v>377</v>
      </c>
      <c r="C49" s="842" t="str">
        <f>IF(C45&gt;C46,"Não Atende","Atende")</f>
        <v>Atende</v>
      </c>
      <c r="D49" s="842"/>
      <c r="E49" s="560"/>
      <c r="F49" s="571"/>
      <c r="G49" s="564"/>
      <c r="H49" s="559" t="s">
        <v>377</v>
      </c>
      <c r="I49" s="842" t="str">
        <f>IF(I45&gt;I46,"Não Atende","Atende")</f>
        <v>Atende</v>
      </c>
      <c r="J49" s="842"/>
      <c r="K49" s="558"/>
      <c r="L49" s="558"/>
      <c r="M49" s="558"/>
      <c r="N49" s="558"/>
      <c r="O49" s="558"/>
      <c r="P49" s="558"/>
      <c r="Q49" s="558"/>
      <c r="R49" s="558"/>
      <c r="S49" s="558"/>
      <c r="T49" s="558"/>
      <c r="U49" s="558"/>
      <c r="V49" s="558"/>
    </row>
    <row r="50" spans="1:22">
      <c r="A50" s="558"/>
      <c r="B50" s="558"/>
      <c r="C50" s="558"/>
      <c r="D50" s="558"/>
      <c r="E50" s="557"/>
      <c r="F50" s="568"/>
      <c r="G50" s="562"/>
      <c r="H50" s="557"/>
      <c r="I50" s="557"/>
      <c r="J50" s="568"/>
      <c r="K50" s="562"/>
      <c r="L50" s="558"/>
      <c r="M50" s="558"/>
      <c r="N50" s="558"/>
      <c r="O50" s="558"/>
      <c r="P50" s="558"/>
      <c r="Q50" s="558"/>
      <c r="R50" s="558"/>
      <c r="S50" s="558"/>
      <c r="T50" s="558"/>
      <c r="U50" s="558"/>
      <c r="V50" s="558"/>
    </row>
    <row r="51" spans="1:22">
      <c r="A51" s="558"/>
      <c r="B51" s="558"/>
      <c r="C51" s="558"/>
      <c r="D51" s="558"/>
      <c r="E51" s="557"/>
      <c r="F51" s="568"/>
      <c r="G51" s="562"/>
      <c r="H51" s="557"/>
      <c r="I51" s="557"/>
      <c r="J51" s="568"/>
      <c r="K51" s="562"/>
      <c r="L51" s="558"/>
      <c r="M51" s="558"/>
      <c r="N51" s="558"/>
      <c r="O51" s="558"/>
      <c r="P51" s="558"/>
      <c r="Q51" s="558"/>
      <c r="R51" s="558"/>
      <c r="S51" s="558"/>
      <c r="T51" s="558"/>
      <c r="U51" s="558"/>
      <c r="V51" s="558"/>
    </row>
    <row r="52" spans="1:22">
      <c r="A52" s="558"/>
      <c r="B52" s="558"/>
      <c r="C52" s="558"/>
      <c r="D52" s="558"/>
      <c r="E52" s="557"/>
      <c r="F52" s="568"/>
      <c r="G52" s="562"/>
      <c r="H52" s="557"/>
      <c r="I52" s="557"/>
      <c r="J52" s="568"/>
      <c r="K52" s="562"/>
      <c r="L52" s="558"/>
      <c r="M52" s="558"/>
      <c r="N52" s="558"/>
      <c r="O52" s="558"/>
      <c r="P52" s="558"/>
      <c r="Q52" s="558"/>
      <c r="R52" s="558"/>
      <c r="S52" s="558"/>
      <c r="T52" s="558"/>
      <c r="U52" s="558"/>
      <c r="V52" s="558"/>
    </row>
    <row r="53" spans="1:22">
      <c r="A53" s="558"/>
      <c r="B53" s="558"/>
      <c r="C53" s="558"/>
      <c r="D53" s="558"/>
      <c r="E53" s="557"/>
      <c r="F53" s="568"/>
      <c r="G53" s="562"/>
      <c r="H53" s="557"/>
      <c r="I53" s="557"/>
      <c r="J53" s="568"/>
      <c r="K53" s="562"/>
      <c r="L53" s="558"/>
      <c r="M53" s="558"/>
      <c r="N53" s="558"/>
      <c r="O53" s="558"/>
      <c r="P53" s="558"/>
      <c r="Q53" s="558"/>
      <c r="R53" s="558"/>
      <c r="S53" s="558"/>
      <c r="T53" s="558"/>
      <c r="U53" s="558"/>
      <c r="V53" s="558"/>
    </row>
    <row r="54" spans="1:22">
      <c r="A54" s="558"/>
      <c r="B54" s="558"/>
      <c r="C54" s="558"/>
      <c r="D54" s="558"/>
      <c r="E54" s="557"/>
      <c r="F54" s="568"/>
      <c r="G54" s="562"/>
      <c r="H54" s="557"/>
      <c r="I54" s="557"/>
      <c r="J54" s="568"/>
      <c r="K54" s="562"/>
      <c r="L54" s="558"/>
      <c r="M54" s="558"/>
      <c r="N54" s="558"/>
      <c r="O54" s="558"/>
      <c r="P54" s="558"/>
      <c r="Q54" s="558"/>
      <c r="R54" s="558"/>
      <c r="S54" s="558"/>
      <c r="T54" s="558"/>
      <c r="U54" s="558"/>
      <c r="V54" s="558"/>
    </row>
    <row r="55" spans="1:22">
      <c r="A55" s="558"/>
      <c r="B55" s="558"/>
      <c r="C55" s="558"/>
      <c r="D55" s="558"/>
      <c r="E55" s="557"/>
      <c r="F55" s="568"/>
      <c r="G55" s="562"/>
      <c r="H55" s="557"/>
      <c r="I55" s="557"/>
      <c r="J55" s="568"/>
      <c r="K55" s="562"/>
      <c r="L55" s="558"/>
      <c r="M55" s="558"/>
      <c r="N55" s="558"/>
      <c r="O55" s="558"/>
      <c r="P55" s="558"/>
      <c r="Q55" s="558"/>
      <c r="R55" s="558"/>
      <c r="S55" s="558"/>
      <c r="T55" s="558"/>
      <c r="U55" s="558"/>
      <c r="V55" s="558"/>
    </row>
    <row r="56" spans="1:22">
      <c r="A56" s="558"/>
      <c r="B56" s="558"/>
      <c r="C56" s="558"/>
      <c r="D56" s="558"/>
      <c r="E56" s="557"/>
      <c r="F56" s="568"/>
      <c r="G56" s="562"/>
      <c r="H56" s="557"/>
      <c r="I56" s="557"/>
      <c r="J56" s="568"/>
      <c r="K56" s="562"/>
      <c r="L56" s="558"/>
      <c r="M56" s="558"/>
      <c r="N56" s="558"/>
      <c r="O56" s="558"/>
      <c r="P56" s="558"/>
      <c r="Q56" s="558"/>
      <c r="R56" s="558"/>
      <c r="S56" s="558"/>
      <c r="T56" s="558"/>
      <c r="U56" s="558"/>
      <c r="V56" s="558"/>
    </row>
    <row r="57" spans="1:22">
      <c r="A57" s="558"/>
      <c r="B57" s="558"/>
      <c r="C57" s="558"/>
      <c r="D57" s="558"/>
      <c r="E57" s="557"/>
      <c r="F57" s="568"/>
      <c r="G57" s="562"/>
      <c r="H57" s="557"/>
      <c r="I57" s="557"/>
      <c r="J57" s="568"/>
      <c r="K57" s="562"/>
      <c r="L57" s="558"/>
      <c r="M57" s="558"/>
      <c r="N57" s="558"/>
      <c r="O57" s="558"/>
      <c r="P57" s="558"/>
      <c r="Q57" s="558"/>
      <c r="R57" s="558"/>
      <c r="S57" s="558"/>
      <c r="T57" s="558"/>
      <c r="U57" s="558"/>
      <c r="V57" s="558"/>
    </row>
    <row r="94" spans="8:14" hidden="1">
      <c r="H94" s="229"/>
      <c r="I94" s="229"/>
      <c r="J94" s="574"/>
    </row>
    <row r="95" spans="8:14" ht="16.2" hidden="1">
      <c r="H95" s="229"/>
      <c r="I95" s="229"/>
      <c r="N95"/>
    </row>
    <row r="96" spans="8:14" ht="16.2" hidden="1">
      <c r="H96" s="229"/>
      <c r="I96" s="229"/>
      <c r="N96"/>
    </row>
    <row r="97" spans="6:14" ht="16.2" hidden="1">
      <c r="F97" s="574"/>
      <c r="G97" s="567"/>
      <c r="H97" s="229"/>
      <c r="I97" s="229"/>
      <c r="N97"/>
    </row>
    <row r="98" spans="6:14" ht="16.2" hidden="1">
      <c r="F98" s="574"/>
      <c r="G98" s="567"/>
      <c r="H98" s="229"/>
      <c r="I98" s="229"/>
      <c r="N98"/>
    </row>
    <row r="99" spans="6:14" ht="16.2" hidden="1">
      <c r="H99" s="229"/>
      <c r="I99" s="229"/>
      <c r="J99" s="574"/>
      <c r="L99"/>
      <c r="M99"/>
      <c r="N99"/>
    </row>
    <row r="100" spans="6:14" ht="16.2" hidden="1">
      <c r="H100" s="229"/>
      <c r="I100" s="229"/>
      <c r="J100" s="574"/>
      <c r="L100"/>
      <c r="M100"/>
      <c r="N100"/>
    </row>
    <row r="101" spans="6:14" ht="16.2" hidden="1">
      <c r="H101" s="229"/>
      <c r="I101" s="229"/>
      <c r="J101" s="574"/>
      <c r="L101"/>
      <c r="M101"/>
      <c r="N101"/>
    </row>
    <row r="102" spans="6:14" ht="16.2" hidden="1">
      <c r="H102" s="229"/>
      <c r="I102" s="229"/>
      <c r="J102" s="574"/>
      <c r="L102"/>
      <c r="M102"/>
      <c r="N102"/>
    </row>
    <row r="103" spans="6:14" hidden="1">
      <c r="L103"/>
      <c r="M103"/>
      <c r="N103"/>
    </row>
    <row r="104" spans="6:14" hidden="1">
      <c r="L104"/>
      <c r="M104"/>
      <c r="N104"/>
    </row>
    <row r="105" spans="6:14" hidden="1">
      <c r="L105"/>
      <c r="M105"/>
      <c r="N105"/>
    </row>
    <row r="106" spans="6:14" hidden="1">
      <c r="L106"/>
      <c r="M106"/>
      <c r="N106"/>
    </row>
    <row r="107" spans="6:14" hidden="1">
      <c r="L107"/>
      <c r="M107"/>
      <c r="N107"/>
    </row>
    <row r="108" spans="6:14" hidden="1">
      <c r="L108"/>
      <c r="M108"/>
      <c r="N108"/>
    </row>
    <row r="109" spans="6:14" hidden="1">
      <c r="L109"/>
      <c r="M109"/>
      <c r="N109"/>
    </row>
    <row r="110" spans="6:14" hidden="1">
      <c r="L110"/>
      <c r="M110"/>
      <c r="N110"/>
    </row>
    <row r="111" spans="6:14" hidden="1">
      <c r="L111"/>
      <c r="M111"/>
      <c r="N111"/>
    </row>
    <row r="112" spans="6:14" hidden="1">
      <c r="L112"/>
      <c r="M112"/>
      <c r="N112"/>
    </row>
    <row r="113" spans="12:14" hidden="1">
      <c r="L113"/>
      <c r="M113"/>
      <c r="N113"/>
    </row>
    <row r="114" spans="12:14" hidden="1">
      <c r="L114"/>
      <c r="M114"/>
      <c r="N114"/>
    </row>
  </sheetData>
  <sheetProtection algorithmName="SHA-512" hashValue="2GJRNq7EcYNOObv5A5KchbDbK6o4hpvX63zu2rl5GX9dzH/uALQmLzpIkYtbkkpqZrw59/Dw3ztiiKSUmZS+zw==" saltValue="vz6k2880tZ5tNeKghJ3MHw==" spinCount="100000" sheet="1" objects="1" scenarios="1" selectLockedCells="1"/>
  <mergeCells count="18">
    <mergeCell ref="B9:F9"/>
    <mergeCell ref="H9:M9"/>
    <mergeCell ref="B33:F33"/>
    <mergeCell ref="H33:O33"/>
    <mergeCell ref="C25:D25"/>
    <mergeCell ref="I49:J49"/>
    <mergeCell ref="B11:D11"/>
    <mergeCell ref="B19:D19"/>
    <mergeCell ref="H35:J35"/>
    <mergeCell ref="H43:J43"/>
    <mergeCell ref="H11:J11"/>
    <mergeCell ref="H19:J19"/>
    <mergeCell ref="H26:J26"/>
    <mergeCell ref="I25:J25"/>
    <mergeCell ref="B26:D26"/>
    <mergeCell ref="C49:D49"/>
    <mergeCell ref="B43:D43"/>
    <mergeCell ref="B35:D35"/>
  </mergeCells>
  <phoneticPr fontId="21" type="noConversion"/>
  <conditionalFormatting sqref="C25:D25 I25:J25 C49:D49 I49:J49">
    <cfRule type="beginsWith" dxfId="24" priority="1" operator="beginsWith" text="Não Atende">
      <formula>LEFT(C25,LEN("Não Atende"))="Não Atende"</formula>
    </cfRule>
    <cfRule type="containsText" dxfId="23" priority="2" operator="containsText" text="Atende">
      <formula>NOT(ISERROR(SEARCH("Atende",C25)))</formula>
    </cfRule>
  </conditionalFormatting>
  <dataValidations disablePrompts="1" count="1">
    <dataValidation type="list" allowBlank="1" showInputMessage="1" showErrorMessage="1" sqref="G95" xr:uid="{6F644D73-CC34-46C2-BEE2-7628E0153B62}"/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2DC4-2D6B-462B-898C-E982A1DEB15E}">
  <sheetPr>
    <tabColor rgb="FF152C3B"/>
  </sheetPr>
  <dimension ref="A1:AD86"/>
  <sheetViews>
    <sheetView workbookViewId="0">
      <selection activeCell="N16" sqref="N16"/>
    </sheetView>
  </sheetViews>
  <sheetFormatPr defaultRowHeight="14.4"/>
  <cols>
    <col min="2" max="2" width="10.109375" customWidth="1"/>
    <col min="3" max="3" width="16.4414062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6">
      <c r="A2" s="1"/>
      <c r="B2" s="3" t="s">
        <v>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>
      <c r="A5" s="1"/>
      <c r="B5" s="846" t="s">
        <v>28</v>
      </c>
      <c r="C5" s="846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847" t="s">
        <v>78</v>
      </c>
      <c r="P5" s="848"/>
      <c r="Q5" s="849"/>
      <c r="R5" s="847" t="s">
        <v>83</v>
      </c>
      <c r="S5" s="848"/>
      <c r="T5" s="849"/>
      <c r="U5" s="847" t="s">
        <v>85</v>
      </c>
      <c r="V5" s="848"/>
      <c r="W5" s="849"/>
      <c r="X5" s="1"/>
      <c r="Y5" s="1"/>
      <c r="Z5" s="1"/>
      <c r="AA5" s="1"/>
      <c r="AB5" s="1"/>
      <c r="AC5" s="1"/>
      <c r="AD5" s="1"/>
    </row>
    <row r="6" spans="1:30">
      <c r="A6" s="1"/>
      <c r="B6" s="6" t="s">
        <v>24</v>
      </c>
      <c r="C6" s="155">
        <f>DSB!C29</f>
        <v>0.38</v>
      </c>
      <c r="D6" s="5"/>
      <c r="E6" s="1"/>
      <c r="F6" s="1"/>
      <c r="G6" s="1"/>
      <c r="H6" s="1"/>
      <c r="I6" s="1"/>
      <c r="J6" s="1"/>
      <c r="K6" s="1"/>
      <c r="L6" s="1"/>
      <c r="M6" s="1"/>
      <c r="N6" s="1"/>
      <c r="O6" s="48" t="s">
        <v>121</v>
      </c>
      <c r="P6" s="2" t="s">
        <v>122</v>
      </c>
      <c r="Q6" s="49" t="s">
        <v>123</v>
      </c>
      <c r="R6" s="48" t="s">
        <v>121</v>
      </c>
      <c r="S6" s="2" t="s">
        <v>122</v>
      </c>
      <c r="T6" s="49" t="s">
        <v>123</v>
      </c>
      <c r="U6" s="48" t="s">
        <v>121</v>
      </c>
      <c r="V6" s="2" t="s">
        <v>122</v>
      </c>
      <c r="W6" s="49" t="s">
        <v>123</v>
      </c>
      <c r="X6" s="1"/>
      <c r="Y6" s="1"/>
      <c r="Z6" s="1"/>
      <c r="AA6" s="1"/>
      <c r="AB6" s="1"/>
      <c r="AC6" s="1"/>
      <c r="AD6" s="1"/>
    </row>
    <row r="7" spans="1:30">
      <c r="A7" s="1"/>
      <c r="B7" s="6" t="s">
        <v>25</v>
      </c>
      <c r="C7" s="155">
        <f>DSB!F29</f>
        <v>0.7</v>
      </c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05" t="s">
        <v>124</v>
      </c>
      <c r="P7" s="106">
        <v>5</v>
      </c>
      <c r="Q7" s="107">
        <v>1.5</v>
      </c>
      <c r="R7" s="50" t="s">
        <v>182</v>
      </c>
      <c r="S7" s="47">
        <v>5</v>
      </c>
      <c r="T7" s="51">
        <v>6</v>
      </c>
      <c r="U7" s="50" t="s">
        <v>176</v>
      </c>
      <c r="V7" s="47">
        <v>6</v>
      </c>
      <c r="W7" s="51">
        <v>13</v>
      </c>
      <c r="X7" s="1"/>
      <c r="Y7" s="1"/>
      <c r="Z7" s="1"/>
      <c r="AA7" s="1"/>
      <c r="AB7" s="1"/>
      <c r="AC7" s="1"/>
      <c r="AD7" s="1"/>
    </row>
    <row r="8" spans="1:30">
      <c r="A8" s="1"/>
      <c r="B8" s="6" t="s">
        <v>26</v>
      </c>
      <c r="C8" s="156">
        <f>DSB!C36</f>
        <v>2.5</v>
      </c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50" t="s">
        <v>186</v>
      </c>
      <c r="P8" s="47">
        <v>5</v>
      </c>
      <c r="Q8" s="51">
        <v>2</v>
      </c>
      <c r="R8" s="52" t="s">
        <v>183</v>
      </c>
      <c r="S8" s="53">
        <v>5</v>
      </c>
      <c r="T8" s="54">
        <v>7</v>
      </c>
      <c r="U8" s="50" t="s">
        <v>215</v>
      </c>
      <c r="V8" s="47">
        <v>6</v>
      </c>
      <c r="W8" s="51">
        <v>16</v>
      </c>
      <c r="X8" s="1"/>
      <c r="Y8" s="1"/>
      <c r="Z8" s="1"/>
      <c r="AA8" s="1"/>
      <c r="AB8" s="1"/>
      <c r="AC8" s="1"/>
      <c r="AD8" s="1"/>
    </row>
    <row r="9" spans="1:30">
      <c r="A9" s="1"/>
      <c r="B9" s="6" t="s">
        <v>27</v>
      </c>
      <c r="C9" s="155">
        <f>DSB!I6/COS(RADIANS(AXA!C23))</f>
        <v>0.73116325996744946</v>
      </c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50" t="s">
        <v>185</v>
      </c>
      <c r="P9" s="53">
        <v>5</v>
      </c>
      <c r="Q9" s="54">
        <v>2.5</v>
      </c>
      <c r="R9" s="50" t="s">
        <v>195</v>
      </c>
      <c r="S9" s="47">
        <v>5</v>
      </c>
      <c r="T9" s="51">
        <v>8</v>
      </c>
      <c r="U9" s="52" t="s">
        <v>214</v>
      </c>
      <c r="V9" s="53">
        <v>6</v>
      </c>
      <c r="W9" s="54">
        <v>18</v>
      </c>
      <c r="X9" s="1"/>
      <c r="Y9" s="1"/>
      <c r="Z9" s="1"/>
      <c r="AA9" s="1"/>
      <c r="AB9" s="1"/>
      <c r="AC9" s="1"/>
      <c r="AD9" s="1"/>
    </row>
    <row r="10" spans="1:30">
      <c r="A10" s="1"/>
      <c r="B10" s="2" t="s">
        <v>16</v>
      </c>
      <c r="C10" s="152">
        <f>DSB!C6-DSB!I8</f>
        <v>5.9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08" t="s">
        <v>280</v>
      </c>
      <c r="S10" s="109">
        <v>6</v>
      </c>
      <c r="T10" s="110">
        <v>1</v>
      </c>
      <c r="U10" s="52" t="s">
        <v>177</v>
      </c>
      <c r="V10" s="53">
        <v>6</v>
      </c>
      <c r="W10" s="54">
        <v>20</v>
      </c>
      <c r="X10" s="1"/>
      <c r="Y10" s="1"/>
      <c r="Z10" s="1"/>
      <c r="AA10" s="1"/>
      <c r="AB10" s="1"/>
      <c r="AC10" s="1"/>
      <c r="AD10" s="1"/>
    </row>
    <row r="11" spans="1:30">
      <c r="A11" s="1"/>
      <c r="B11" s="2" t="s">
        <v>17</v>
      </c>
      <c r="C11" s="152">
        <f>C10/2</f>
        <v>2.95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52" t="s">
        <v>178</v>
      </c>
      <c r="V11" s="53">
        <v>7</v>
      </c>
      <c r="W11" s="54">
        <v>14</v>
      </c>
      <c r="X11" s="1"/>
      <c r="Y11" s="1"/>
      <c r="Z11" s="1"/>
      <c r="AA11" s="1"/>
      <c r="AB11" s="1"/>
      <c r="AC11" s="1"/>
      <c r="AD11" s="1"/>
    </row>
    <row r="12" spans="1:30">
      <c r="A12" s="1"/>
      <c r="B12" s="2" t="s">
        <v>154</v>
      </c>
      <c r="C12" s="168">
        <f>C11/2</f>
        <v>1.4750000000000001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85"/>
      <c r="O12" s="1"/>
      <c r="P12" s="1"/>
      <c r="Q12" s="1"/>
      <c r="R12" s="1"/>
      <c r="S12" s="1"/>
      <c r="T12" s="1"/>
      <c r="U12" s="52" t="s">
        <v>179</v>
      </c>
      <c r="V12" s="53">
        <v>7</v>
      </c>
      <c r="W12" s="54">
        <v>18</v>
      </c>
      <c r="X12" s="1"/>
      <c r="Y12" s="1"/>
      <c r="Z12" s="1"/>
      <c r="AA12" s="1"/>
      <c r="AB12" s="1"/>
      <c r="AC12" s="1"/>
      <c r="AD12" s="1"/>
    </row>
    <row r="13" spans="1:30" ht="15.6">
      <c r="A13" s="1"/>
      <c r="B13" s="2" t="s">
        <v>168</v>
      </c>
      <c r="C13" s="168">
        <f>(TAN(RADIANS(C22)))*AXA!C11</f>
        <v>0.88500000000000001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85"/>
      <c r="O13" s="1"/>
      <c r="P13" s="1"/>
      <c r="Q13" s="1"/>
      <c r="R13" s="1"/>
      <c r="S13" s="1"/>
      <c r="T13" s="1"/>
      <c r="U13" s="52" t="s">
        <v>180</v>
      </c>
      <c r="V13" s="53">
        <v>10</v>
      </c>
      <c r="W13" s="54">
        <v>20</v>
      </c>
      <c r="X13" s="1"/>
      <c r="Y13" s="1"/>
      <c r="Z13" s="1"/>
      <c r="AA13" s="1"/>
      <c r="AB13" s="1"/>
      <c r="AC13" s="1"/>
      <c r="AD13" s="1"/>
    </row>
    <row r="14" spans="1:30">
      <c r="A14" s="1"/>
      <c r="B14" s="2" t="s">
        <v>18</v>
      </c>
      <c r="C14" s="168">
        <f>ROUNDUP(C13,2)</f>
        <v>0.89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2" t="s">
        <v>181</v>
      </c>
      <c r="V14" s="53">
        <v>10</v>
      </c>
      <c r="W14" s="54">
        <v>30</v>
      </c>
      <c r="X14" s="1"/>
      <c r="Y14" s="1"/>
      <c r="Z14" s="1"/>
      <c r="AA14" s="1"/>
      <c r="AB14" s="1"/>
      <c r="AC14" s="1"/>
      <c r="AD14" s="1"/>
    </row>
    <row r="15" spans="1:30">
      <c r="A15" s="1"/>
      <c r="B15" s="2" t="s">
        <v>19</v>
      </c>
      <c r="C15" s="152">
        <f>SQRT(C11^2+C14^2)</f>
        <v>3.0813308812913944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08" t="s">
        <v>184</v>
      </c>
      <c r="V15" s="109">
        <v>6</v>
      </c>
      <c r="W15" s="110">
        <v>12</v>
      </c>
      <c r="X15" s="1"/>
      <c r="Y15" s="1"/>
      <c r="Z15" s="1"/>
      <c r="AA15" s="1"/>
      <c r="AB15" s="1"/>
      <c r="AC15" s="1"/>
      <c r="AD15" s="1"/>
    </row>
    <row r="16" spans="1:30">
      <c r="A16" s="1"/>
      <c r="B16" s="2" t="s">
        <v>20</v>
      </c>
      <c r="C16" s="152">
        <f>C15/2</f>
        <v>1.5406654406456972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5.6">
      <c r="A17" s="1"/>
      <c r="B17" s="161" t="s">
        <v>152</v>
      </c>
      <c r="C17" s="162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5.6">
      <c r="A18" s="1"/>
      <c r="B18" s="161" t="s">
        <v>153</v>
      </c>
      <c r="C18" s="162">
        <v>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5.6">
      <c r="A19" s="1"/>
      <c r="B19" s="2" t="s">
        <v>151</v>
      </c>
      <c r="C19" s="152">
        <f>C16</f>
        <v>1.5406654406456972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5.6">
      <c r="A20" s="1"/>
      <c r="B20" s="161" t="s">
        <v>150</v>
      </c>
      <c r="C20" s="162">
        <v>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 t="s">
        <v>23</v>
      </c>
      <c r="C21" s="153">
        <f>C14/C15</f>
        <v>0.28883623157893334</v>
      </c>
      <c r="D21" s="1"/>
      <c r="E21" s="8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5.6">
      <c r="A22" s="1"/>
      <c r="B22" s="2" t="s">
        <v>169</v>
      </c>
      <c r="C22" s="154">
        <f>DEGREES(ATAN(DSB!I13))</f>
        <v>16.699244233993621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 t="s">
        <v>21</v>
      </c>
      <c r="C23" s="154">
        <f>DEGREES(ASIN(C21))</f>
        <v>16.788295731316005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 t="s">
        <v>22</v>
      </c>
      <c r="C24" s="170">
        <f>C11/C15</f>
        <v>0.95737852040208249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 t="s">
        <v>156</v>
      </c>
      <c r="C25" s="152">
        <f>(C15+C11+C19)*2+C14</f>
        <v>16.033992643874182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</sheetData>
  <sheetProtection algorithmName="SHA-512" hashValue="R9nUQ979HvkA9XrK+22t2r0zHjuh0oC+9Ju9EF7XuaCpI2EgCNY5zqGbRAkZhXCeWZ/JGTK2WVqLvH5mp7Kn8Q==" saltValue="0wbjrUrXZkfGcBRRc6kvgQ==" spinCount="100000" sheet="1" objects="1" scenarios="1" selectLockedCells="1"/>
  <mergeCells count="4">
    <mergeCell ref="B5:C5"/>
    <mergeCell ref="O5:Q5"/>
    <mergeCell ref="R5:T5"/>
    <mergeCell ref="U5:W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5AE4-19CA-4A95-87CA-36295542E830}">
  <sheetPr>
    <tabColor rgb="FF152C3B"/>
  </sheetPr>
  <dimension ref="A1:BI162"/>
  <sheetViews>
    <sheetView topLeftCell="AC1" zoomScale="85" zoomScaleNormal="85" workbookViewId="0">
      <selection activeCell="AV12" sqref="AV12"/>
    </sheetView>
  </sheetViews>
  <sheetFormatPr defaultRowHeight="14.4"/>
  <cols>
    <col min="1" max="1" width="4.33203125" customWidth="1"/>
    <col min="2" max="2" width="2.88671875" customWidth="1"/>
    <col min="3" max="3" width="20.5546875" customWidth="1"/>
    <col min="4" max="4" width="18.109375" customWidth="1"/>
    <col min="11" max="11" width="12.6640625" customWidth="1"/>
    <col min="12" max="12" width="13.5546875" bestFit="1" customWidth="1"/>
    <col min="15" max="15" width="4.33203125" customWidth="1"/>
    <col min="16" max="16" width="15" bestFit="1" customWidth="1"/>
    <col min="17" max="17" width="13.5546875" bestFit="1" customWidth="1"/>
    <col min="37" max="37" width="18.33203125" customWidth="1"/>
    <col min="38" max="38" width="16.88671875" customWidth="1"/>
    <col min="42" max="42" width="17.44140625" customWidth="1"/>
    <col min="44" max="44" width="20.33203125" customWidth="1"/>
    <col min="45" max="45" width="14.6640625" customWidth="1"/>
    <col min="46" max="46" width="16" customWidth="1"/>
    <col min="47" max="47" width="17.5546875" customWidth="1"/>
    <col min="49" max="49" width="19" bestFit="1" customWidth="1"/>
    <col min="50" max="50" width="15.109375" customWidth="1"/>
    <col min="51" max="51" width="16" customWidth="1"/>
    <col min="52" max="52" width="14.44140625" bestFit="1" customWidth="1"/>
  </cols>
  <sheetData>
    <row r="1" spans="1:6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7.6">
      <c r="A2" s="1"/>
      <c r="B2" s="31"/>
      <c r="C2" s="32" t="s">
        <v>30</v>
      </c>
      <c r="D2" s="31"/>
      <c r="E2" s="31"/>
      <c r="F2" s="31"/>
      <c r="G2" s="31"/>
      <c r="H2" s="31"/>
      <c r="I2" s="31"/>
      <c r="J2" s="31"/>
      <c r="K2" s="1"/>
      <c r="L2" s="1"/>
      <c r="M2" s="32" t="s">
        <v>51</v>
      </c>
      <c r="N2" s="31"/>
      <c r="O2" s="31"/>
      <c r="P2" s="31"/>
      <c r="Q2" s="31"/>
      <c r="R2" s="1"/>
      <c r="S2" s="1"/>
      <c r="T2" s="55" t="s">
        <v>127</v>
      </c>
      <c r="U2" s="1"/>
      <c r="V2" s="32" t="s">
        <v>235</v>
      </c>
      <c r="W2" s="31"/>
      <c r="X2" s="1"/>
      <c r="Y2" s="1"/>
      <c r="Z2" s="1"/>
      <c r="AA2" s="55" t="s">
        <v>274</v>
      </c>
      <c r="AB2" s="1"/>
      <c r="AC2" s="32" t="s">
        <v>296</v>
      </c>
      <c r="AD2" s="31"/>
      <c r="AE2" s="3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5" customHeight="1">
      <c r="A3" s="1"/>
      <c r="B3" s="853" t="s">
        <v>574</v>
      </c>
      <c r="C3" s="850" t="s">
        <v>31</v>
      </c>
      <c r="D3" s="850" t="s">
        <v>213</v>
      </c>
      <c r="E3" s="697" t="s">
        <v>33</v>
      </c>
      <c r="F3" s="698" t="s">
        <v>37</v>
      </c>
      <c r="G3" s="698" t="s">
        <v>36</v>
      </c>
      <c r="H3" s="698" t="s">
        <v>34</v>
      </c>
      <c r="I3" s="698" t="s">
        <v>38</v>
      </c>
      <c r="J3" s="698" t="s">
        <v>35</v>
      </c>
      <c r="K3" s="1"/>
      <c r="L3" s="1"/>
      <c r="M3" s="14" t="s">
        <v>56</v>
      </c>
      <c r="N3" s="14" t="s">
        <v>57</v>
      </c>
      <c r="O3" s="14" t="s">
        <v>58</v>
      </c>
      <c r="P3" s="14" t="s">
        <v>59</v>
      </c>
      <c r="Q3" s="14" t="s">
        <v>60</v>
      </c>
      <c r="R3" s="1"/>
      <c r="S3" s="1"/>
      <c r="T3" s="11">
        <v>10</v>
      </c>
      <c r="U3" s="1"/>
      <c r="V3" s="14" t="s">
        <v>216</v>
      </c>
      <c r="W3" s="14" t="s">
        <v>236</v>
      </c>
      <c r="X3" s="1"/>
      <c r="Y3" s="1"/>
      <c r="Z3" s="1"/>
      <c r="AA3" s="151">
        <v>0</v>
      </c>
      <c r="AB3" s="1"/>
      <c r="AC3" s="14" t="s">
        <v>295</v>
      </c>
      <c r="AD3" s="14" t="s">
        <v>236</v>
      </c>
      <c r="AE3" s="14" t="s">
        <v>299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0"/>
      <c r="AX3" s="20"/>
      <c r="AY3" s="20"/>
      <c r="AZ3" s="20"/>
      <c r="BA3" s="1"/>
      <c r="BB3" s="1"/>
      <c r="BC3" s="1"/>
      <c r="BD3" s="1"/>
      <c r="BE3" s="1"/>
      <c r="BF3" s="1"/>
      <c r="BG3" s="1"/>
      <c r="BH3" s="1"/>
      <c r="BI3" s="1"/>
    </row>
    <row r="4" spans="1:61">
      <c r="A4" s="1"/>
      <c r="B4" s="854"/>
      <c r="C4" s="851"/>
      <c r="D4" s="851"/>
      <c r="E4" s="699" t="s">
        <v>50</v>
      </c>
      <c r="F4" s="699" t="s">
        <v>32</v>
      </c>
      <c r="G4" s="699" t="s">
        <v>32</v>
      </c>
      <c r="H4" s="699" t="s">
        <v>32</v>
      </c>
      <c r="I4" s="699" t="s">
        <v>32</v>
      </c>
      <c r="J4" s="699" t="s">
        <v>32</v>
      </c>
      <c r="K4" s="1"/>
      <c r="L4" s="1"/>
      <c r="M4" s="15" t="s">
        <v>52</v>
      </c>
      <c r="N4" s="15">
        <v>16</v>
      </c>
      <c r="O4" s="16">
        <v>2.4</v>
      </c>
      <c r="P4" s="17">
        <v>0.33600000000000002</v>
      </c>
      <c r="Q4" s="16">
        <v>0.3</v>
      </c>
      <c r="R4" s="1"/>
      <c r="S4" s="1"/>
      <c r="T4" s="11">
        <v>11</v>
      </c>
      <c r="U4" s="1"/>
      <c r="V4" s="15" t="s">
        <v>268</v>
      </c>
      <c r="W4" s="131">
        <v>0.1</v>
      </c>
      <c r="X4" s="1"/>
      <c r="Y4" s="1"/>
      <c r="Z4" s="1"/>
      <c r="AA4" s="151">
        <v>1</v>
      </c>
      <c r="AB4" s="1"/>
      <c r="AC4" s="15" t="s">
        <v>297</v>
      </c>
      <c r="AD4" s="131">
        <v>0.15</v>
      </c>
      <c r="AE4" s="160">
        <v>1</v>
      </c>
      <c r="AF4" s="1"/>
      <c r="AG4" s="1"/>
      <c r="AH4" s="1"/>
      <c r="AI4" s="1"/>
      <c r="AJ4" s="1"/>
      <c r="AK4" s="57" t="s">
        <v>574</v>
      </c>
      <c r="AL4" s="57" t="s">
        <v>588</v>
      </c>
      <c r="AM4" s="57" t="s">
        <v>597</v>
      </c>
      <c r="AN4" s="1"/>
      <c r="AO4" s="1"/>
      <c r="AP4" s="20" t="s">
        <v>350</v>
      </c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>
      <c r="A5" s="1"/>
      <c r="B5" s="854"/>
      <c r="C5" s="7" t="s">
        <v>575</v>
      </c>
      <c r="D5" s="8" t="s">
        <v>576</v>
      </c>
      <c r="E5" s="9">
        <v>350</v>
      </c>
      <c r="F5" s="10">
        <v>16</v>
      </c>
      <c r="G5" s="10">
        <v>8</v>
      </c>
      <c r="H5" s="10">
        <v>0.4</v>
      </c>
      <c r="I5" s="10">
        <v>3</v>
      </c>
      <c r="J5" s="9">
        <v>7000</v>
      </c>
      <c r="K5" s="1"/>
      <c r="L5" s="1"/>
      <c r="M5" s="15" t="s">
        <v>293</v>
      </c>
      <c r="N5" s="15">
        <v>16</v>
      </c>
      <c r="O5" s="16">
        <v>2.4</v>
      </c>
      <c r="P5" s="17">
        <v>0.34</v>
      </c>
      <c r="Q5" s="16">
        <v>0.3</v>
      </c>
      <c r="R5" s="1"/>
      <c r="S5" s="1"/>
      <c r="T5" s="11">
        <v>12</v>
      </c>
      <c r="U5" s="1"/>
      <c r="V5" s="15" t="s">
        <v>269</v>
      </c>
      <c r="W5" s="131">
        <v>0.15</v>
      </c>
      <c r="X5" s="1"/>
      <c r="Y5" s="1"/>
      <c r="Z5" s="1"/>
      <c r="AA5" s="1"/>
      <c r="AB5" s="1"/>
      <c r="AC5" s="15" t="s">
        <v>298</v>
      </c>
      <c r="AD5" s="131">
        <v>0</v>
      </c>
      <c r="AE5" s="160">
        <v>0</v>
      </c>
      <c r="AF5" s="1"/>
      <c r="AG5" s="1"/>
      <c r="AH5" s="1"/>
      <c r="AI5" s="1"/>
      <c r="AJ5" s="1"/>
      <c r="AK5" s="7" t="s">
        <v>575</v>
      </c>
      <c r="AL5" s="7" t="s">
        <v>589</v>
      </c>
      <c r="AM5" s="8" t="s">
        <v>598</v>
      </c>
      <c r="AN5" s="1"/>
      <c r="AO5" s="1"/>
      <c r="AP5" s="57" t="str">
        <f>DSB!F39</f>
        <v>Plantada - folhosa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>
      <c r="A6" s="1"/>
      <c r="B6" s="854"/>
      <c r="C6" s="7" t="s">
        <v>577</v>
      </c>
      <c r="D6" s="8" t="s">
        <v>576</v>
      </c>
      <c r="E6" s="9">
        <v>370</v>
      </c>
      <c r="F6" s="10">
        <v>17</v>
      </c>
      <c r="G6" s="10">
        <v>10</v>
      </c>
      <c r="H6" s="10">
        <v>0.4</v>
      </c>
      <c r="I6" s="10">
        <v>3.2</v>
      </c>
      <c r="J6" s="9">
        <v>8000</v>
      </c>
      <c r="K6" s="1"/>
      <c r="L6" s="1"/>
      <c r="M6" s="15" t="s">
        <v>248</v>
      </c>
      <c r="N6" s="15">
        <v>26</v>
      </c>
      <c r="O6" s="16">
        <v>1.38</v>
      </c>
      <c r="P6" s="17">
        <v>0.4</v>
      </c>
      <c r="Q6" s="16">
        <v>0.25</v>
      </c>
      <c r="R6" s="1"/>
      <c r="S6" s="1"/>
      <c r="T6" s="11">
        <v>13</v>
      </c>
      <c r="U6" s="1"/>
      <c r="V6" s="15" t="s">
        <v>270</v>
      </c>
      <c r="W6" s="131">
        <v>0.25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7" t="s">
        <v>577</v>
      </c>
      <c r="AL6" s="8" t="s">
        <v>590</v>
      </c>
      <c r="AM6" s="8" t="s">
        <v>599</v>
      </c>
      <c r="AN6" s="1"/>
      <c r="AO6" s="20">
        <v>2</v>
      </c>
      <c r="AP6" s="7" t="str">
        <f>HLOOKUP($AP$5,$AK$4:$AM$16,AO6,0)</f>
        <v>D18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>
      <c r="A7" s="1"/>
      <c r="B7" s="854"/>
      <c r="C7" s="7" t="s">
        <v>578</v>
      </c>
      <c r="D7" s="8" t="s">
        <v>576</v>
      </c>
      <c r="E7" s="9">
        <v>380</v>
      </c>
      <c r="F7" s="10">
        <v>18</v>
      </c>
      <c r="G7" s="10">
        <v>11</v>
      </c>
      <c r="H7" s="10">
        <v>0.4</v>
      </c>
      <c r="I7" s="10">
        <v>3.4</v>
      </c>
      <c r="J7" s="9">
        <v>9000</v>
      </c>
      <c r="K7" s="1"/>
      <c r="L7" s="1"/>
      <c r="M7" s="15" t="s">
        <v>53</v>
      </c>
      <c r="N7" s="15">
        <v>12.8</v>
      </c>
      <c r="O7" s="16">
        <v>3.2</v>
      </c>
      <c r="P7" s="17">
        <v>0.35799999999999998</v>
      </c>
      <c r="Q7" s="16">
        <v>0.3</v>
      </c>
      <c r="R7" s="1"/>
      <c r="S7" s="1"/>
      <c r="T7" s="11">
        <v>14</v>
      </c>
      <c r="U7" s="1"/>
      <c r="V7" s="15" t="s">
        <v>271</v>
      </c>
      <c r="W7" s="131">
        <v>0.1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7" t="s">
        <v>578</v>
      </c>
      <c r="AL7" s="8" t="s">
        <v>591</v>
      </c>
      <c r="AM7" s="8" t="s">
        <v>600</v>
      </c>
      <c r="AN7" s="1"/>
      <c r="AO7" s="20">
        <v>3</v>
      </c>
      <c r="AP7" s="7" t="str">
        <f t="shared" ref="AP7:AP16" si="0">HLOOKUP($AP$5,$AK$4:$AM$16,AO7,0)</f>
        <v>D24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>
      <c r="A8" s="1"/>
      <c r="B8" s="854"/>
      <c r="C8" s="7" t="s">
        <v>579</v>
      </c>
      <c r="D8" s="8" t="s">
        <v>576</v>
      </c>
      <c r="E8" s="9">
        <v>390</v>
      </c>
      <c r="F8" s="10">
        <v>19</v>
      </c>
      <c r="G8" s="10">
        <v>12</v>
      </c>
      <c r="H8" s="10">
        <v>0.4</v>
      </c>
      <c r="I8" s="10">
        <v>3.6</v>
      </c>
      <c r="J8" s="9">
        <v>9500</v>
      </c>
      <c r="K8" s="1"/>
      <c r="L8" s="1"/>
      <c r="M8" s="15" t="s">
        <v>54</v>
      </c>
      <c r="N8" s="15">
        <v>29</v>
      </c>
      <c r="O8" s="16">
        <v>1.3</v>
      </c>
      <c r="P8" s="17">
        <v>0.4</v>
      </c>
      <c r="Q8" s="16">
        <v>0.25</v>
      </c>
      <c r="R8" s="1"/>
      <c r="S8" s="1"/>
      <c r="T8" s="11">
        <v>15</v>
      </c>
      <c r="U8" s="1"/>
      <c r="V8" s="15" t="s">
        <v>272</v>
      </c>
      <c r="W8" s="131">
        <v>0.1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7" t="s">
        <v>579</v>
      </c>
      <c r="AL8" s="8" t="s">
        <v>592</v>
      </c>
      <c r="AM8" s="8" t="s">
        <v>601</v>
      </c>
      <c r="AN8" s="1"/>
      <c r="AO8" s="20">
        <v>4</v>
      </c>
      <c r="AP8" s="7" t="str">
        <f t="shared" si="0"/>
        <v>D30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>
      <c r="A9" s="1"/>
      <c r="B9" s="854"/>
      <c r="C9" s="7" t="s">
        <v>580</v>
      </c>
      <c r="D9" s="8" t="s">
        <v>576</v>
      </c>
      <c r="E9" s="9">
        <v>410</v>
      </c>
      <c r="F9" s="10">
        <v>20</v>
      </c>
      <c r="G9" s="10">
        <v>13</v>
      </c>
      <c r="H9" s="10">
        <v>0.4</v>
      </c>
      <c r="I9" s="10">
        <v>3.8</v>
      </c>
      <c r="J9" s="9">
        <v>10000</v>
      </c>
      <c r="K9" s="1"/>
      <c r="L9" s="1"/>
      <c r="M9" s="138" t="s">
        <v>55</v>
      </c>
      <c r="N9" s="138">
        <v>26</v>
      </c>
      <c r="O9" s="139">
        <v>1.7</v>
      </c>
      <c r="P9" s="17">
        <v>0.4</v>
      </c>
      <c r="Q9" s="16">
        <v>0.25</v>
      </c>
      <c r="R9" s="1"/>
      <c r="S9" s="1"/>
      <c r="T9" s="11">
        <v>16</v>
      </c>
      <c r="U9" s="1"/>
      <c r="V9" s="15" t="s">
        <v>409</v>
      </c>
      <c r="W9" s="131">
        <v>0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7" t="s">
        <v>580</v>
      </c>
      <c r="AL9" s="8" t="s">
        <v>593</v>
      </c>
      <c r="AM9" s="8" t="s">
        <v>602</v>
      </c>
      <c r="AN9" s="1"/>
      <c r="AO9" s="20">
        <v>5</v>
      </c>
      <c r="AP9" s="7" t="str">
        <f t="shared" si="0"/>
        <v>D35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>
      <c r="A10" s="1"/>
      <c r="B10" s="854"/>
      <c r="C10" s="7" t="s">
        <v>581</v>
      </c>
      <c r="D10" s="8" t="s">
        <v>576</v>
      </c>
      <c r="E10" s="9">
        <v>420</v>
      </c>
      <c r="F10" s="10">
        <v>21</v>
      </c>
      <c r="G10" s="10">
        <v>14</v>
      </c>
      <c r="H10" s="10">
        <v>0.4</v>
      </c>
      <c r="I10" s="10">
        <v>4</v>
      </c>
      <c r="J10" s="9">
        <v>11000</v>
      </c>
      <c r="K10" s="1"/>
      <c r="L10" s="1"/>
      <c r="M10" s="1"/>
      <c r="N10" s="1"/>
      <c r="O10" s="1"/>
      <c r="P10" s="1"/>
      <c r="Q10" s="1"/>
      <c r="R10" s="1"/>
      <c r="S10" s="1"/>
      <c r="T10" s="11">
        <v>17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7" t="s">
        <v>581</v>
      </c>
      <c r="AL10" s="8" t="s">
        <v>594</v>
      </c>
      <c r="AM10" s="1"/>
      <c r="AN10" s="1"/>
      <c r="AO10" s="20">
        <v>6</v>
      </c>
      <c r="AP10" s="7" t="str">
        <f t="shared" si="0"/>
        <v>D40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>
      <c r="A11" s="1"/>
      <c r="B11" s="854"/>
      <c r="C11" s="7" t="s">
        <v>582</v>
      </c>
      <c r="D11" s="8" t="s">
        <v>576</v>
      </c>
      <c r="E11" s="9">
        <v>450</v>
      </c>
      <c r="F11" s="10">
        <v>22</v>
      </c>
      <c r="G11" s="10">
        <v>16</v>
      </c>
      <c r="H11" s="10">
        <v>0.4</v>
      </c>
      <c r="I11" s="10">
        <v>4</v>
      </c>
      <c r="J11" s="9">
        <v>12000</v>
      </c>
      <c r="K11" s="1"/>
      <c r="L11" s="1"/>
      <c r="M11" s="1"/>
      <c r="N11" s="1"/>
      <c r="O11" s="1"/>
      <c r="P11" s="1"/>
      <c r="Q11" s="1"/>
      <c r="R11" s="1"/>
      <c r="S11" s="1"/>
      <c r="T11" s="11">
        <v>18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7" t="s">
        <v>582</v>
      </c>
      <c r="AL11" s="8" t="s">
        <v>595</v>
      </c>
      <c r="AM11" s="1"/>
      <c r="AN11" s="1"/>
      <c r="AO11" s="20">
        <v>7</v>
      </c>
      <c r="AP11" s="7" t="str">
        <f t="shared" si="0"/>
        <v>D50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>
      <c r="A12" s="1"/>
      <c r="B12" s="854"/>
      <c r="C12" s="7" t="s">
        <v>583</v>
      </c>
      <c r="D12" s="8" t="s">
        <v>576</v>
      </c>
      <c r="E12" s="9">
        <v>460</v>
      </c>
      <c r="F12" s="10">
        <v>23</v>
      </c>
      <c r="G12" s="10">
        <v>18</v>
      </c>
      <c r="H12" s="10">
        <v>0.4</v>
      </c>
      <c r="I12" s="10">
        <v>4</v>
      </c>
      <c r="J12" s="9">
        <v>12000</v>
      </c>
      <c r="K12" s="1"/>
      <c r="L12" s="1"/>
      <c r="M12" s="1"/>
      <c r="N12" s="1"/>
      <c r="O12" s="1"/>
      <c r="P12" s="1"/>
      <c r="Q12" s="1"/>
      <c r="R12" s="1"/>
      <c r="S12" s="1"/>
      <c r="T12" s="11">
        <v>19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7" t="s">
        <v>583</v>
      </c>
      <c r="AL12" s="8" t="s">
        <v>596</v>
      </c>
      <c r="AM12" s="1"/>
      <c r="AN12" s="1"/>
      <c r="AO12" s="20">
        <v>8</v>
      </c>
      <c r="AP12" s="7" t="str">
        <f t="shared" si="0"/>
        <v>D60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t="15" customHeight="1">
      <c r="A13" s="1"/>
      <c r="B13" s="854"/>
      <c r="C13" s="7" t="s">
        <v>584</v>
      </c>
      <c r="D13" s="8" t="s">
        <v>576</v>
      </c>
      <c r="E13" s="9">
        <v>480</v>
      </c>
      <c r="F13" s="10">
        <v>25</v>
      </c>
      <c r="G13" s="10">
        <v>21</v>
      </c>
      <c r="H13" s="10">
        <v>0.4</v>
      </c>
      <c r="I13" s="10">
        <v>4</v>
      </c>
      <c r="J13" s="9">
        <v>13000</v>
      </c>
      <c r="K13" s="1"/>
      <c r="L13" s="1"/>
      <c r="M13" s="44" t="s">
        <v>109</v>
      </c>
      <c r="N13" s="1"/>
      <c r="O13" s="859" t="s">
        <v>112</v>
      </c>
      <c r="P13" s="859"/>
      <c r="Q13" s="859"/>
      <c r="R13" s="1"/>
      <c r="S13" s="1"/>
      <c r="T13" s="11">
        <v>20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7" t="s">
        <v>584</v>
      </c>
      <c r="AL13" s="1"/>
      <c r="AM13" s="1"/>
      <c r="AN13" s="1"/>
      <c r="AO13" s="20">
        <v>9</v>
      </c>
      <c r="AP13" s="7" t="str">
        <f t="shared" si="0"/>
        <v>D70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>
      <c r="A14" s="1"/>
      <c r="B14" s="854"/>
      <c r="C14" s="7" t="s">
        <v>585</v>
      </c>
      <c r="D14" s="8" t="s">
        <v>576</v>
      </c>
      <c r="E14" s="9">
        <v>500</v>
      </c>
      <c r="F14" s="10">
        <v>26</v>
      </c>
      <c r="G14" s="10">
        <v>24</v>
      </c>
      <c r="H14" s="10">
        <v>0.4</v>
      </c>
      <c r="I14" s="10">
        <v>4</v>
      </c>
      <c r="J14" s="9">
        <v>14000</v>
      </c>
      <c r="K14" s="1"/>
      <c r="L14" s="1"/>
      <c r="M14" s="45" t="s">
        <v>110</v>
      </c>
      <c r="N14" s="1"/>
      <c r="O14" s="860" t="s">
        <v>113</v>
      </c>
      <c r="P14" s="860"/>
      <c r="Q14" s="13">
        <v>0.8</v>
      </c>
      <c r="R14" s="1"/>
      <c r="S14" s="1"/>
      <c r="T14" s="11">
        <v>21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7" t="s">
        <v>585</v>
      </c>
      <c r="AL14" s="1"/>
      <c r="AM14" s="1"/>
      <c r="AN14" s="1"/>
      <c r="AO14" s="20">
        <v>10</v>
      </c>
      <c r="AP14" s="7">
        <f t="shared" si="0"/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>
      <c r="A15" s="1"/>
      <c r="B15" s="854"/>
      <c r="C15" s="7" t="s">
        <v>586</v>
      </c>
      <c r="D15" s="8" t="s">
        <v>576</v>
      </c>
      <c r="E15" s="9">
        <v>520</v>
      </c>
      <c r="F15" s="10">
        <v>27</v>
      </c>
      <c r="G15" s="10">
        <v>27</v>
      </c>
      <c r="H15" s="10">
        <v>0.4</v>
      </c>
      <c r="I15" s="10">
        <v>4</v>
      </c>
      <c r="J15" s="9">
        <v>15000</v>
      </c>
      <c r="K15" s="1"/>
      <c r="L15" s="1"/>
      <c r="M15" s="46" t="s">
        <v>111</v>
      </c>
      <c r="N15" s="1"/>
      <c r="O15" s="860" t="s">
        <v>114</v>
      </c>
      <c r="P15" s="860"/>
      <c r="Q15" s="13">
        <v>2</v>
      </c>
      <c r="R15" s="1"/>
      <c r="S15" s="1"/>
      <c r="T15" s="11">
        <v>22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7" t="s">
        <v>586</v>
      </c>
      <c r="AL15" s="1"/>
      <c r="AM15" s="1"/>
      <c r="AN15" s="1"/>
      <c r="AO15" s="20">
        <v>11</v>
      </c>
      <c r="AP15" s="7">
        <f t="shared" si="0"/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>
      <c r="A16" s="1"/>
      <c r="B16" s="855"/>
      <c r="C16" s="7" t="s">
        <v>587</v>
      </c>
      <c r="D16" s="8" t="s">
        <v>576</v>
      </c>
      <c r="E16" s="9">
        <v>550</v>
      </c>
      <c r="F16" s="10">
        <v>29</v>
      </c>
      <c r="G16" s="10">
        <v>30</v>
      </c>
      <c r="H16" s="10">
        <v>0.4</v>
      </c>
      <c r="I16" s="10">
        <v>4</v>
      </c>
      <c r="J16" s="9">
        <v>16000</v>
      </c>
      <c r="K16" s="1"/>
      <c r="L16" s="1"/>
      <c r="M16" s="1"/>
      <c r="N16" s="1"/>
      <c r="O16" s="1"/>
      <c r="P16" s="1"/>
      <c r="Q16" s="1"/>
      <c r="R16" s="1"/>
      <c r="S16" s="1"/>
      <c r="T16" s="11">
        <v>23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7" t="s">
        <v>587</v>
      </c>
      <c r="AL16" s="1"/>
      <c r="AM16" s="1"/>
      <c r="AN16" s="1"/>
      <c r="AO16" s="20">
        <v>12</v>
      </c>
      <c r="AP16" s="7">
        <f t="shared" si="0"/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>
      <c r="A17" s="1"/>
      <c r="B17" s="852" t="s">
        <v>588</v>
      </c>
      <c r="C17" s="7" t="s">
        <v>589</v>
      </c>
      <c r="D17" s="8" t="s">
        <v>576</v>
      </c>
      <c r="E17" s="9">
        <v>570</v>
      </c>
      <c r="F17" s="10">
        <v>18</v>
      </c>
      <c r="G17" s="10">
        <v>11</v>
      </c>
      <c r="H17" s="10">
        <v>0.6</v>
      </c>
      <c r="I17" s="10">
        <v>3.4</v>
      </c>
      <c r="J17" s="9">
        <v>9500</v>
      </c>
      <c r="K17" s="1"/>
      <c r="L17" s="1"/>
      <c r="M17" s="1"/>
      <c r="N17" s="1"/>
      <c r="O17" s="1"/>
      <c r="P17" s="1"/>
      <c r="Q17" s="1"/>
      <c r="R17" s="1"/>
      <c r="S17" s="1"/>
      <c r="T17" s="11">
        <v>24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20">
        <v>13</v>
      </c>
      <c r="AP17" s="7">
        <f>HLOOKUP($AP$5,$AK$4:$AM$16,AO17,0)</f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>
      <c r="A18" s="1"/>
      <c r="B18" s="852"/>
      <c r="C18" s="8" t="s">
        <v>590</v>
      </c>
      <c r="D18" s="8" t="s">
        <v>576</v>
      </c>
      <c r="E18" s="9">
        <v>580</v>
      </c>
      <c r="F18" s="10">
        <v>21</v>
      </c>
      <c r="G18" s="10">
        <v>14</v>
      </c>
      <c r="H18" s="10">
        <v>0.6</v>
      </c>
      <c r="I18" s="10">
        <v>4</v>
      </c>
      <c r="J18" s="9">
        <v>10000</v>
      </c>
      <c r="K18" s="1"/>
      <c r="L18" s="1"/>
      <c r="M18" s="1"/>
      <c r="N18" s="1"/>
      <c r="O18" s="1"/>
      <c r="P18" s="1"/>
      <c r="Q18" s="1"/>
      <c r="R18" s="1"/>
      <c r="S18" s="1"/>
      <c r="T18" s="11">
        <v>25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>
      <c r="A19" s="1"/>
      <c r="B19" s="852"/>
      <c r="C19" s="8" t="s">
        <v>591</v>
      </c>
      <c r="D19" s="8" t="s">
        <v>576</v>
      </c>
      <c r="E19" s="9">
        <v>640</v>
      </c>
      <c r="F19" s="10">
        <v>23</v>
      </c>
      <c r="G19" s="10">
        <v>18</v>
      </c>
      <c r="H19" s="10">
        <v>0.6</v>
      </c>
      <c r="I19" s="10">
        <v>4</v>
      </c>
      <c r="J19" s="9">
        <v>11000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>
      <c r="A20" s="1"/>
      <c r="B20" s="852"/>
      <c r="C20" s="8" t="s">
        <v>592</v>
      </c>
      <c r="D20" s="8" t="s">
        <v>576</v>
      </c>
      <c r="E20" s="9">
        <v>650</v>
      </c>
      <c r="F20" s="10">
        <v>25</v>
      </c>
      <c r="G20" s="10">
        <v>21</v>
      </c>
      <c r="H20" s="10">
        <v>0.6</v>
      </c>
      <c r="I20" s="10">
        <v>4</v>
      </c>
      <c r="J20" s="9">
        <v>12000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>
      <c r="A21" s="1"/>
      <c r="B21" s="852"/>
      <c r="C21" s="8" t="s">
        <v>593</v>
      </c>
      <c r="D21" s="8" t="s">
        <v>576</v>
      </c>
      <c r="E21" s="9">
        <v>660</v>
      </c>
      <c r="F21" s="10">
        <v>26</v>
      </c>
      <c r="G21" s="10">
        <v>24</v>
      </c>
      <c r="H21" s="10">
        <v>0.6</v>
      </c>
      <c r="I21" s="10">
        <v>4</v>
      </c>
      <c r="J21" s="9">
        <v>13000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>
      <c r="A22" s="1"/>
      <c r="B22" s="852"/>
      <c r="C22" s="8" t="s">
        <v>594</v>
      </c>
      <c r="D22" s="8" t="s">
        <v>576</v>
      </c>
      <c r="E22" s="9">
        <v>750</v>
      </c>
      <c r="F22" s="10">
        <v>29</v>
      </c>
      <c r="G22" s="10">
        <v>30</v>
      </c>
      <c r="H22" s="10">
        <v>0.6</v>
      </c>
      <c r="I22" s="10">
        <v>4</v>
      </c>
      <c r="J22" s="9">
        <v>14000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>
      <c r="A23" s="1"/>
      <c r="B23" s="852"/>
      <c r="C23" s="8" t="s">
        <v>595</v>
      </c>
      <c r="D23" s="8" t="s">
        <v>576</v>
      </c>
      <c r="E23" s="9">
        <v>840</v>
      </c>
      <c r="F23" s="10">
        <v>32</v>
      </c>
      <c r="G23" s="10">
        <v>36</v>
      </c>
      <c r="H23" s="10" t="s">
        <v>603</v>
      </c>
      <c r="I23" s="10">
        <v>4.5</v>
      </c>
      <c r="J23" s="9">
        <v>17000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>
      <c r="A24" s="1"/>
      <c r="B24" s="852"/>
      <c r="C24" s="8" t="s">
        <v>596</v>
      </c>
      <c r="D24" s="8" t="s">
        <v>576</v>
      </c>
      <c r="E24" s="9">
        <v>1080</v>
      </c>
      <c r="F24" s="10">
        <v>34</v>
      </c>
      <c r="G24" s="10">
        <v>42</v>
      </c>
      <c r="H24" s="10">
        <v>0.6</v>
      </c>
      <c r="I24" s="10">
        <v>5</v>
      </c>
      <c r="J24" s="9">
        <v>20000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>
      <c r="A25" s="1"/>
      <c r="B25" s="856" t="s">
        <v>597</v>
      </c>
      <c r="C25" s="8" t="s">
        <v>598</v>
      </c>
      <c r="D25" s="8" t="s">
        <v>597</v>
      </c>
      <c r="E25" s="9">
        <v>500</v>
      </c>
      <c r="F25" s="10">
        <v>20</v>
      </c>
      <c r="G25" s="62" t="s">
        <v>64</v>
      </c>
      <c r="H25" s="62" t="s">
        <v>64</v>
      </c>
      <c r="I25" s="10">
        <v>4</v>
      </c>
      <c r="J25" s="9">
        <v>10000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>
      <c r="A26" s="1"/>
      <c r="B26" s="857"/>
      <c r="C26" s="8" t="s">
        <v>599</v>
      </c>
      <c r="D26" s="8" t="s">
        <v>597</v>
      </c>
      <c r="E26" s="9">
        <v>625</v>
      </c>
      <c r="F26" s="10">
        <v>30</v>
      </c>
      <c r="G26" s="62" t="s">
        <v>64</v>
      </c>
      <c r="H26" s="62" t="s">
        <v>64</v>
      </c>
      <c r="I26" s="10">
        <v>5</v>
      </c>
      <c r="J26" s="9">
        <v>12000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>
      <c r="A27" s="1"/>
      <c r="B27" s="857"/>
      <c r="C27" s="8" t="s">
        <v>600</v>
      </c>
      <c r="D27" s="8" t="s">
        <v>597</v>
      </c>
      <c r="E27" s="9">
        <v>750</v>
      </c>
      <c r="F27" s="10">
        <v>40</v>
      </c>
      <c r="G27" s="62" t="s">
        <v>64</v>
      </c>
      <c r="H27" s="62" t="s">
        <v>64</v>
      </c>
      <c r="I27" s="10">
        <v>6</v>
      </c>
      <c r="J27" s="9">
        <v>14500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>
      <c r="A28" s="1"/>
      <c r="B28" s="857"/>
      <c r="C28" s="8" t="s">
        <v>601</v>
      </c>
      <c r="D28" s="8" t="s">
        <v>597</v>
      </c>
      <c r="E28" s="9">
        <v>850</v>
      </c>
      <c r="F28" s="10">
        <v>50</v>
      </c>
      <c r="G28" s="62" t="s">
        <v>64</v>
      </c>
      <c r="H28" s="62" t="s">
        <v>64</v>
      </c>
      <c r="I28" s="10">
        <v>7</v>
      </c>
      <c r="J28" s="9">
        <v>16500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>
      <c r="A29" s="1"/>
      <c r="B29" s="857"/>
      <c r="C29" s="8" t="s">
        <v>602</v>
      </c>
      <c r="D29" s="8" t="s">
        <v>597</v>
      </c>
      <c r="E29" s="9">
        <v>1000</v>
      </c>
      <c r="F29" s="10">
        <v>60</v>
      </c>
      <c r="G29" s="62" t="s">
        <v>64</v>
      </c>
      <c r="H29" s="62" t="s">
        <v>64</v>
      </c>
      <c r="I29" s="10">
        <v>8</v>
      </c>
      <c r="J29" s="9">
        <v>19500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6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6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1:6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spans="1:6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27.6">
      <c r="A68" s="1"/>
      <c r="B68" s="1"/>
      <c r="C68" s="32" t="s">
        <v>46</v>
      </c>
      <c r="D68" s="31"/>
      <c r="E68" s="1"/>
      <c r="F68" s="32" t="s">
        <v>77</v>
      </c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5.6">
      <c r="A69" s="1"/>
      <c r="B69" s="1"/>
      <c r="C69" s="862" t="s">
        <v>47</v>
      </c>
      <c r="D69" s="862"/>
      <c r="E69" s="1"/>
      <c r="F69" s="23" t="s">
        <v>78</v>
      </c>
      <c r="G69" s="1"/>
      <c r="H69" s="1"/>
      <c r="I69" s="1"/>
      <c r="J69" s="1"/>
      <c r="K69" s="1"/>
      <c r="L69" s="1"/>
      <c r="M69" s="1"/>
      <c r="N69" s="1"/>
      <c r="O69" s="1"/>
      <c r="P69" s="23" t="s">
        <v>83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863" t="s">
        <v>206</v>
      </c>
      <c r="AD69" s="864"/>
      <c r="AE69" s="1"/>
      <c r="AF69" s="1"/>
      <c r="AG69" s="1"/>
      <c r="AH69" s="1"/>
      <c r="AI69" s="1"/>
      <c r="AJ69" s="1"/>
      <c r="AK69" s="1"/>
      <c r="AL69" s="35"/>
      <c r="AM69" s="863" t="s">
        <v>207</v>
      </c>
      <c r="AN69" s="864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>
      <c r="A70" s="1"/>
      <c r="B70" s="1"/>
      <c r="C70" s="11" t="s">
        <v>42</v>
      </c>
      <c r="D70" s="12">
        <v>0.6</v>
      </c>
      <c r="E70" s="1"/>
      <c r="F70" s="24" t="s">
        <v>74</v>
      </c>
      <c r="G70" s="1"/>
      <c r="H70" s="1"/>
      <c r="I70" s="1"/>
      <c r="J70" s="1"/>
      <c r="K70" s="1"/>
      <c r="L70" s="1"/>
      <c r="M70" s="1"/>
      <c r="N70" s="1"/>
      <c r="O70" s="1"/>
      <c r="P70" s="24" t="s">
        <v>74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4" t="s">
        <v>74</v>
      </c>
      <c r="AD70" s="1"/>
      <c r="AE70" s="1"/>
      <c r="AF70" s="1"/>
      <c r="AG70" s="1"/>
      <c r="AH70" s="1"/>
      <c r="AI70" s="1"/>
      <c r="AJ70" s="1"/>
      <c r="AK70" s="1"/>
      <c r="AL70" s="35"/>
      <c r="AM70" s="24" t="s">
        <v>74</v>
      </c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>
      <c r="A71" s="1"/>
      <c r="B71" s="1"/>
      <c r="C71" s="11" t="s">
        <v>40</v>
      </c>
      <c r="D71" s="12">
        <v>0.7</v>
      </c>
      <c r="E71" s="1"/>
      <c r="F71" s="25"/>
      <c r="G71" s="1"/>
      <c r="H71" s="21" t="s">
        <v>171</v>
      </c>
      <c r="I71" s="1"/>
      <c r="J71" s="1"/>
      <c r="K71" s="1"/>
      <c r="L71" s="21" t="s">
        <v>170</v>
      </c>
      <c r="M71" s="1"/>
      <c r="N71" s="1"/>
      <c r="O71" s="1"/>
      <c r="P71" s="25"/>
      <c r="Q71" s="21" t="s">
        <v>84</v>
      </c>
      <c r="R71" s="1"/>
      <c r="S71" s="1"/>
      <c r="T71" s="1"/>
      <c r="U71" s="1"/>
      <c r="V71" s="21" t="s">
        <v>70</v>
      </c>
      <c r="W71" s="1"/>
      <c r="X71" s="1"/>
      <c r="Y71" s="1"/>
      <c r="Z71" s="1"/>
      <c r="AA71" s="1"/>
      <c r="AB71" s="1"/>
      <c r="AC71" s="25"/>
      <c r="AD71" s="1"/>
      <c r="AE71" s="21" t="s">
        <v>69</v>
      </c>
      <c r="AF71" s="1"/>
      <c r="AG71" s="1"/>
      <c r="AH71" s="1"/>
      <c r="AI71" s="1"/>
      <c r="AJ71" s="21" t="s">
        <v>70</v>
      </c>
      <c r="AK71" s="1"/>
      <c r="AL71" s="35"/>
      <c r="AM71" s="25"/>
      <c r="AN71" s="1"/>
      <c r="AO71" s="21" t="s">
        <v>208</v>
      </c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>
      <c r="A72" s="1"/>
      <c r="B72" s="1"/>
      <c r="C72" s="11" t="s">
        <v>43</v>
      </c>
      <c r="D72" s="12">
        <v>0.8</v>
      </c>
      <c r="E72" s="1"/>
      <c r="F72" s="25"/>
      <c r="G72" s="1"/>
      <c r="H72" s="1"/>
      <c r="I72" s="1"/>
      <c r="J72" s="1"/>
      <c r="K72" s="1"/>
      <c r="L72" s="1"/>
      <c r="M72" s="1"/>
      <c r="N72" s="1"/>
      <c r="O72" s="1"/>
      <c r="P72" s="25"/>
      <c r="Q72" s="1"/>
      <c r="R72" s="115">
        <f>CMB!D67*(DSB!I29)</f>
        <v>0.34471733431025775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25"/>
      <c r="AD72" s="1"/>
      <c r="AE72" s="1"/>
      <c r="AF72" s="1"/>
      <c r="AG72" s="1"/>
      <c r="AH72" s="1"/>
      <c r="AI72" s="1"/>
      <c r="AJ72" s="1"/>
      <c r="AK72" s="1"/>
      <c r="AL72" s="35"/>
      <c r="AM72" s="25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>
      <c r="A73" s="1"/>
      <c r="B73" s="1"/>
      <c r="C73" s="11" t="s">
        <v>44</v>
      </c>
      <c r="D73" s="12">
        <v>0.9</v>
      </c>
      <c r="E73" s="1"/>
      <c r="F73" s="25"/>
      <c r="G73" s="1"/>
      <c r="H73" s="1"/>
      <c r="I73" s="1"/>
      <c r="J73" s="1"/>
      <c r="K73" s="1"/>
      <c r="L73" s="1"/>
      <c r="M73" s="1"/>
      <c r="N73" s="1"/>
      <c r="O73" s="1"/>
      <c r="P73" s="26"/>
      <c r="Q73" s="1"/>
      <c r="R73" s="1"/>
      <c r="S73" s="1"/>
      <c r="T73" s="87">
        <f>CMB!$F$67*DSB!I29/2</f>
        <v>0.57130120012093266</v>
      </c>
      <c r="U73" s="1"/>
      <c r="V73" s="1"/>
      <c r="W73" s="18"/>
      <c r="X73" s="1"/>
      <c r="Y73" s="1"/>
      <c r="Z73" s="1"/>
      <c r="AA73" s="1"/>
      <c r="AB73" s="1"/>
      <c r="AC73" s="25"/>
      <c r="AD73" s="1"/>
      <c r="AE73" s="1"/>
      <c r="AF73" s="1"/>
      <c r="AG73" s="1"/>
      <c r="AH73" s="1"/>
      <c r="AI73" s="1"/>
      <c r="AJ73" s="1"/>
      <c r="AK73" s="1"/>
      <c r="AL73" s="35"/>
      <c r="AM73" s="25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>
      <c r="A74" s="1"/>
      <c r="B74" s="1"/>
      <c r="C74" s="11" t="s">
        <v>45</v>
      </c>
      <c r="D74" s="12">
        <v>1.1000000000000001</v>
      </c>
      <c r="E74" s="1"/>
      <c r="F74" s="25"/>
      <c r="G74" s="1"/>
      <c r="H74" s="1"/>
      <c r="I74" s="1"/>
      <c r="J74" s="1"/>
      <c r="K74" s="1"/>
      <c r="L74" s="1"/>
      <c r="M74" s="1"/>
      <c r="N74" s="1"/>
      <c r="O74" s="1"/>
      <c r="P74" s="25"/>
      <c r="Q74" s="1"/>
      <c r="R74" s="1"/>
      <c r="S74" s="1"/>
      <c r="T74" s="1"/>
      <c r="U74" s="1"/>
      <c r="V74" s="1"/>
      <c r="W74" s="1"/>
      <c r="X74" s="1"/>
      <c r="Y74" s="1"/>
      <c r="Z74" s="28"/>
      <c r="AA74" s="27"/>
      <c r="AB74" s="1"/>
      <c r="AC74" s="25"/>
      <c r="AD74" s="1"/>
      <c r="AE74" s="1"/>
      <c r="AF74" s="1"/>
      <c r="AG74" s="1"/>
      <c r="AH74" s="1"/>
      <c r="AI74" s="1"/>
      <c r="AJ74" s="1"/>
      <c r="AK74" s="1"/>
      <c r="AL74" s="35"/>
      <c r="AM74" s="25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1"/>
      <c r="O75" s="1"/>
      <c r="P75" s="25"/>
      <c r="Q75" s="1"/>
      <c r="R75" s="1"/>
      <c r="S75" s="1"/>
      <c r="T75" s="1"/>
      <c r="U75" s="1"/>
      <c r="V75" s="1"/>
      <c r="W75" s="1"/>
      <c r="X75" s="1"/>
      <c r="Y75" s="1"/>
      <c r="Z75" s="28"/>
      <c r="AA75" s="27"/>
      <c r="AB75" s="1"/>
      <c r="AC75" s="25"/>
      <c r="AD75" s="1"/>
      <c r="AE75" s="1"/>
      <c r="AF75" s="1"/>
      <c r="AG75" s="1"/>
      <c r="AH75" s="1"/>
      <c r="AI75" s="1"/>
      <c r="AJ75" s="1"/>
      <c r="AK75" s="1"/>
      <c r="AL75" s="35"/>
      <c r="AM75" s="25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5.6">
      <c r="A76" s="1"/>
      <c r="B76" s="1"/>
      <c r="C76" s="865" t="s">
        <v>48</v>
      </c>
      <c r="D76" s="865"/>
      <c r="E76" s="58" t="s">
        <v>112</v>
      </c>
      <c r="F76" s="25"/>
      <c r="G76" s="1"/>
      <c r="H76" s="1"/>
      <c r="I76" s="1"/>
      <c r="J76" s="87">
        <f>CMB!$D$25*DSB!F29/2</f>
        <v>4.0992838310801596E-2</v>
      </c>
      <c r="K76" s="1"/>
      <c r="L76" s="1"/>
      <c r="M76" s="1"/>
      <c r="N76" s="87">
        <f>CMB!$F$25*DSB!F29/2</f>
        <v>0.13587513822119629</v>
      </c>
      <c r="O76" s="1"/>
      <c r="P76" s="25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25"/>
      <c r="AD76" s="1"/>
      <c r="AE76" s="1"/>
      <c r="AF76" s="1"/>
      <c r="AG76" s="87">
        <f>CMB!$D$112*DSB!C36/2</f>
        <v>0.65553648237298545</v>
      </c>
      <c r="AH76" s="1"/>
      <c r="AI76" s="1"/>
      <c r="AJ76" s="1"/>
      <c r="AK76" s="1"/>
      <c r="AL76" s="89">
        <f>CMB!$F$112*DSB!C36/2</f>
        <v>2.1728456438205699</v>
      </c>
      <c r="AM76" s="25"/>
      <c r="AN76" s="1"/>
      <c r="AO76" s="1"/>
      <c r="AP76" s="1"/>
      <c r="AQ76" s="87">
        <f>CMB!R111*DSB!C36/2</f>
        <v>2.2522133150566632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>
      <c r="A77" s="1"/>
      <c r="B77" s="1"/>
      <c r="C77" s="163" t="s">
        <v>305</v>
      </c>
      <c r="D77" s="12">
        <v>1</v>
      </c>
      <c r="E77" s="59">
        <v>0.6</v>
      </c>
      <c r="F77" s="25"/>
      <c r="G77" s="1"/>
      <c r="H77" s="1"/>
      <c r="I77" s="1"/>
      <c r="J77" s="1"/>
      <c r="K77" s="1"/>
      <c r="L77" s="1"/>
      <c r="M77" s="1"/>
      <c r="N77" s="1"/>
      <c r="O77" s="1"/>
      <c r="P77" s="25"/>
      <c r="Q77" s="1"/>
      <c r="R77" s="1"/>
      <c r="S77" s="1"/>
      <c r="T77" s="1"/>
      <c r="U77" s="1"/>
      <c r="V77" s="1"/>
      <c r="W77" s="1"/>
      <c r="X77" s="18"/>
      <c r="Y77" s="1"/>
      <c r="Z77" s="1"/>
      <c r="AA77" s="1"/>
      <c r="AB77" s="1"/>
      <c r="AC77" s="25"/>
      <c r="AD77" s="1"/>
      <c r="AE77" s="1"/>
      <c r="AF77" s="1"/>
      <c r="AG77" s="1"/>
      <c r="AH77" s="1"/>
      <c r="AI77" s="1"/>
      <c r="AJ77" s="1"/>
      <c r="AK77" s="1"/>
      <c r="AL77" s="35"/>
      <c r="AM77" s="25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>
      <c r="A78" s="1"/>
      <c r="B78" s="1"/>
      <c r="C78" s="164" t="s">
        <v>306</v>
      </c>
      <c r="D78" s="12">
        <v>0.9</v>
      </c>
      <c r="E78" s="59">
        <v>0.8</v>
      </c>
      <c r="F78" s="25"/>
      <c r="G78" s="1"/>
      <c r="H78" s="1"/>
      <c r="I78" s="1"/>
      <c r="J78" s="1"/>
      <c r="K78" s="1"/>
      <c r="L78" s="1"/>
      <c r="M78" s="1"/>
      <c r="N78" s="1"/>
      <c r="O78" s="1"/>
      <c r="P78" s="25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5"/>
      <c r="AD78" s="1"/>
      <c r="AE78" s="1"/>
      <c r="AF78" s="1"/>
      <c r="AG78" s="1"/>
      <c r="AH78" s="1"/>
      <c r="AI78" s="1"/>
      <c r="AJ78" s="1"/>
      <c r="AK78" s="1"/>
      <c r="AL78" s="35"/>
      <c r="AM78" s="25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>
      <c r="A79" s="1"/>
      <c r="B79" s="1"/>
      <c r="C79" s="164" t="s">
        <v>307</v>
      </c>
      <c r="D79" s="12">
        <v>0.8</v>
      </c>
      <c r="E79" s="59">
        <v>0.8</v>
      </c>
      <c r="F79" s="25"/>
      <c r="G79" s="1"/>
      <c r="H79" s="1"/>
      <c r="I79" s="1"/>
      <c r="J79" s="1"/>
      <c r="K79" s="1"/>
      <c r="L79" s="1"/>
      <c r="M79" s="1"/>
      <c r="N79" s="1"/>
      <c r="O79" s="1"/>
      <c r="P79" s="25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5"/>
      <c r="AD79" s="1"/>
      <c r="AE79" s="1"/>
      <c r="AF79" s="1"/>
      <c r="AG79" s="1"/>
      <c r="AH79" s="1"/>
      <c r="AI79" s="1"/>
      <c r="AJ79" s="1"/>
      <c r="AK79" s="1"/>
      <c r="AL79" s="35"/>
      <c r="AM79" s="25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>
      <c r="A80" s="1"/>
      <c r="B80" s="1"/>
      <c r="C80" s="164" t="s">
        <v>308</v>
      </c>
      <c r="D80" s="12">
        <v>0.7</v>
      </c>
      <c r="E80" s="59">
        <v>2</v>
      </c>
      <c r="F80" s="25"/>
      <c r="G80" s="1"/>
      <c r="H80" s="1"/>
      <c r="I80" s="1"/>
      <c r="J80" s="1"/>
      <c r="K80" s="1"/>
      <c r="L80" s="1"/>
      <c r="M80" s="1"/>
      <c r="N80" s="1"/>
      <c r="O80" s="1"/>
      <c r="P80" s="25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5"/>
      <c r="AD80" s="1"/>
      <c r="AE80" s="1"/>
      <c r="AF80" s="1"/>
      <c r="AG80" s="1"/>
      <c r="AH80" s="1"/>
      <c r="AI80" s="1"/>
      <c r="AJ80" s="1"/>
      <c r="AK80" s="1"/>
      <c r="AL80" s="35"/>
      <c r="AM80" s="25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>
      <c r="A81" s="1"/>
      <c r="B81" s="1"/>
      <c r="C81" s="1"/>
      <c r="D81" s="1"/>
      <c r="E81" s="1"/>
      <c r="F81" s="25"/>
      <c r="G81" s="1"/>
      <c r="H81" s="88">
        <f>(CMB!$D$25*DSB!F29^2)/8</f>
        <v>7.1737467043902796E-3</v>
      </c>
      <c r="I81" s="1"/>
      <c r="J81" s="1"/>
      <c r="K81" s="1"/>
      <c r="L81" s="88">
        <f>(CMB!$F$25*DSB!F29^2)/8</f>
        <v>2.3778149188709349E-2</v>
      </c>
      <c r="M81" s="1"/>
      <c r="N81" s="1"/>
      <c r="O81" s="1"/>
      <c r="P81" s="25"/>
      <c r="Q81" s="1"/>
      <c r="R81" s="19"/>
      <c r="S81" s="1"/>
      <c r="T81" s="1"/>
      <c r="U81" s="1"/>
      <c r="V81" s="88">
        <f>(CMB!$F$67*(DSB!I29^2))/8</f>
        <v>0.22004600380643313</v>
      </c>
      <c r="W81" s="1"/>
      <c r="X81" s="1"/>
      <c r="Y81" s="1"/>
      <c r="Z81" s="1"/>
      <c r="AA81" s="1"/>
      <c r="AB81" s="1"/>
      <c r="AC81" s="25"/>
      <c r="AD81" s="1"/>
      <c r="AE81" s="88">
        <f>(CMB!$D$112*DSB!C36^2)/8</f>
        <v>0.40971030148311594</v>
      </c>
      <c r="AF81" s="1"/>
      <c r="AG81" s="1"/>
      <c r="AH81" s="1"/>
      <c r="AI81" s="1"/>
      <c r="AJ81" s="88">
        <f>(CMB!$F$112*DSB!C36^2)/8</f>
        <v>1.3580285273878561</v>
      </c>
      <c r="AK81" s="1"/>
      <c r="AL81" s="35"/>
      <c r="AM81" s="25"/>
      <c r="AN81" s="1"/>
      <c r="AO81" s="88">
        <f>(CMB!R111*DSB!C36^2)/8</f>
        <v>1.4076333219104147</v>
      </c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1"/>
      <c r="O82" s="1"/>
      <c r="P82" s="25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25"/>
      <c r="AD82" s="1"/>
      <c r="AE82" s="1"/>
      <c r="AF82" s="1"/>
      <c r="AG82" s="1"/>
      <c r="AH82" s="1"/>
      <c r="AI82" s="1"/>
      <c r="AJ82" s="1"/>
      <c r="AK82" s="1"/>
      <c r="AL82" s="35"/>
      <c r="AM82" s="25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1"/>
      <c r="O83" s="1"/>
      <c r="P83" s="24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4"/>
      <c r="AD83" s="1"/>
      <c r="AE83" s="1"/>
      <c r="AF83" s="1"/>
      <c r="AG83" s="1"/>
      <c r="AH83" s="1"/>
      <c r="AI83" s="1"/>
      <c r="AJ83" s="1"/>
      <c r="AK83" s="1"/>
      <c r="AL83" s="35"/>
      <c r="AM83" s="24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>
      <c r="A84" s="1"/>
      <c r="B84" s="1"/>
      <c r="C84" s="1"/>
      <c r="D84" s="1"/>
      <c r="E84" s="1"/>
      <c r="F84" s="24" t="s">
        <v>81</v>
      </c>
      <c r="G84" s="1"/>
      <c r="H84" s="20"/>
      <c r="I84" s="1"/>
      <c r="J84" s="1"/>
      <c r="K84" s="1"/>
      <c r="L84" s="21"/>
      <c r="M84" s="1"/>
      <c r="N84" s="1"/>
      <c r="O84" s="1"/>
      <c r="P84" s="24" t="s">
        <v>81</v>
      </c>
      <c r="Q84" s="1"/>
      <c r="R84" s="20"/>
      <c r="S84" s="1"/>
      <c r="T84" s="1"/>
      <c r="U84" s="1"/>
      <c r="V84" s="21"/>
      <c r="W84" s="1"/>
      <c r="X84" s="1"/>
      <c r="Y84" s="1"/>
      <c r="Z84" s="1"/>
      <c r="AA84" s="1"/>
      <c r="AB84" s="1"/>
      <c r="AC84" s="24" t="s">
        <v>81</v>
      </c>
      <c r="AD84" s="1"/>
      <c r="AE84" s="20"/>
      <c r="AF84" s="1"/>
      <c r="AG84" s="1"/>
      <c r="AH84" s="1"/>
      <c r="AI84" s="21"/>
      <c r="AJ84" s="1"/>
      <c r="AK84" s="1"/>
      <c r="AL84" s="35"/>
      <c r="AM84" s="24" t="s">
        <v>81</v>
      </c>
      <c r="AN84" s="1"/>
      <c r="AO84" s="20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>
      <c r="A85" s="1"/>
      <c r="B85" s="1"/>
      <c r="C85" s="1"/>
      <c r="D85" s="1"/>
      <c r="E85" s="1"/>
      <c r="F85" s="25"/>
      <c r="G85" s="1"/>
      <c r="H85" s="21"/>
      <c r="I85" s="1"/>
      <c r="J85" s="1"/>
      <c r="K85" s="1"/>
      <c r="L85" s="21"/>
      <c r="M85" s="1"/>
      <c r="N85" s="1"/>
      <c r="O85" s="1"/>
      <c r="P85" s="25"/>
      <c r="Q85" s="1"/>
      <c r="R85" s="20"/>
      <c r="S85" s="1"/>
      <c r="T85" s="1"/>
      <c r="U85" s="1"/>
      <c r="V85" s="21"/>
      <c r="W85" s="1"/>
      <c r="X85" s="1"/>
      <c r="Y85" s="1"/>
      <c r="Z85" s="1"/>
      <c r="AA85" s="1"/>
      <c r="AB85" s="1"/>
      <c r="AC85" s="25"/>
      <c r="AD85" s="1"/>
      <c r="AE85" s="21"/>
      <c r="AF85" s="1"/>
      <c r="AG85" s="1"/>
      <c r="AH85" s="1"/>
      <c r="AI85" s="21"/>
      <c r="AJ85" s="1"/>
      <c r="AK85" s="1"/>
      <c r="AL85" s="35"/>
      <c r="AM85" s="25"/>
      <c r="AN85" s="1"/>
      <c r="AO85" s="2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>
      <c r="A86" s="1"/>
      <c r="B86" s="1"/>
      <c r="C86" s="1"/>
      <c r="D86" s="1"/>
      <c r="E86" s="1"/>
      <c r="F86" s="25"/>
      <c r="G86" s="1"/>
      <c r="H86" s="21" t="s">
        <v>69</v>
      </c>
      <c r="I86" s="1"/>
      <c r="J86" s="1"/>
      <c r="K86" s="1"/>
      <c r="L86" s="21" t="s">
        <v>70</v>
      </c>
      <c r="M86" s="1"/>
      <c r="N86" s="1"/>
      <c r="O86" s="1"/>
      <c r="P86" s="25"/>
      <c r="Q86" s="21" t="s">
        <v>69</v>
      </c>
      <c r="R86" s="20"/>
      <c r="S86" s="1"/>
      <c r="T86" s="1"/>
      <c r="U86" s="1"/>
      <c r="V86" s="21" t="s">
        <v>70</v>
      </c>
      <c r="W86" s="1"/>
      <c r="X86" s="1"/>
      <c r="Y86" s="1"/>
      <c r="Z86" s="1"/>
      <c r="AA86" s="1"/>
      <c r="AB86" s="1"/>
      <c r="AC86" s="25"/>
      <c r="AD86" s="1"/>
      <c r="AE86" s="21" t="s">
        <v>69</v>
      </c>
      <c r="AF86" s="1"/>
      <c r="AG86" s="1"/>
      <c r="AH86" s="1"/>
      <c r="AI86" s="21"/>
      <c r="AJ86" s="21" t="s">
        <v>70</v>
      </c>
      <c r="AK86" s="1"/>
      <c r="AL86" s="35"/>
      <c r="AM86" s="25"/>
      <c r="AN86" s="1"/>
      <c r="AO86" s="21" t="s">
        <v>69</v>
      </c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1"/>
      <c r="O87" s="1"/>
      <c r="P87" s="25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5"/>
      <c r="AD87" s="1"/>
      <c r="AE87" s="1"/>
      <c r="AF87" s="1"/>
      <c r="AG87" s="1"/>
      <c r="AH87" s="1"/>
      <c r="AI87" s="1"/>
      <c r="AJ87" s="1"/>
      <c r="AK87" s="1"/>
      <c r="AL87" s="35"/>
      <c r="AM87" s="25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1"/>
      <c r="O88" s="1"/>
      <c r="P88" s="30"/>
      <c r="Q88" s="1"/>
      <c r="R88" s="103">
        <f>CMB!$J$63*DSB!I29+CMB!$J$60</f>
        <v>0.52171978747472292</v>
      </c>
      <c r="S88" s="1"/>
      <c r="T88" s="1"/>
      <c r="U88" s="1"/>
      <c r="V88" s="1"/>
      <c r="W88" s="1"/>
      <c r="X88" s="1"/>
      <c r="Y88" s="1"/>
      <c r="Z88" s="27"/>
      <c r="AA88" s="27"/>
      <c r="AB88" s="1"/>
      <c r="AC88" s="25"/>
      <c r="AD88" s="1"/>
      <c r="AE88" s="1"/>
      <c r="AF88" s="1"/>
      <c r="AG88" s="1"/>
      <c r="AH88" s="1"/>
      <c r="AI88" s="1"/>
      <c r="AJ88" s="1"/>
      <c r="AK88" s="1"/>
      <c r="AL88" s="35"/>
      <c r="AM88" s="25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1"/>
      <c r="O89" s="1"/>
      <c r="P89" s="25"/>
      <c r="Q89" s="29">
        <f>R88-(CMB!$J$63*DSB!I29)/2</f>
        <v>0.40527800952682813</v>
      </c>
      <c r="R89" s="1"/>
      <c r="S89" s="1"/>
      <c r="T89" s="1"/>
      <c r="U89" s="1"/>
      <c r="V89" s="1"/>
      <c r="W89" s="1"/>
      <c r="X89" s="18"/>
      <c r="Y89" s="1"/>
      <c r="Z89" s="27"/>
      <c r="AA89" s="27"/>
      <c r="AB89" s="1"/>
      <c r="AC89" s="25"/>
      <c r="AD89" s="1"/>
      <c r="AE89" s="1"/>
      <c r="AF89" s="1"/>
      <c r="AG89" s="1"/>
      <c r="AH89" s="1"/>
      <c r="AI89" s="1"/>
      <c r="AJ89" s="1"/>
      <c r="AK89" s="1"/>
      <c r="AL89" s="35"/>
      <c r="AM89" s="25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>
      <c r="A90" s="1"/>
      <c r="B90" s="1"/>
      <c r="C90" s="1"/>
      <c r="D90" s="1"/>
      <c r="E90" s="1"/>
      <c r="F90" s="25"/>
      <c r="G90" s="1"/>
      <c r="H90" s="1"/>
      <c r="I90" s="1"/>
      <c r="J90" s="18"/>
      <c r="K90" s="1"/>
      <c r="L90" s="1"/>
      <c r="M90" s="1"/>
      <c r="N90" s="18"/>
      <c r="O90" s="1"/>
      <c r="P90" s="56"/>
      <c r="Q90" s="1"/>
      <c r="R90" s="1"/>
      <c r="S90" s="1"/>
      <c r="T90" s="18"/>
      <c r="U90" s="1"/>
      <c r="V90" s="1"/>
      <c r="W90" s="1"/>
      <c r="X90" s="18"/>
      <c r="Y90" s="1"/>
      <c r="Z90" s="27"/>
      <c r="AA90" s="27"/>
      <c r="AB90" s="1"/>
      <c r="AC90" s="25"/>
      <c r="AD90" s="1"/>
      <c r="AE90" s="1"/>
      <c r="AF90" s="1"/>
      <c r="AG90" s="18"/>
      <c r="AH90" s="1"/>
      <c r="AI90" s="1"/>
      <c r="AJ90" s="1"/>
      <c r="AK90" s="18"/>
      <c r="AL90" s="35"/>
      <c r="AM90" s="25"/>
      <c r="AN90" s="1"/>
      <c r="AO90" s="1"/>
      <c r="AP90" s="1"/>
      <c r="AQ90" s="18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>
      <c r="A91" s="1"/>
      <c r="B91" s="1"/>
      <c r="C91" s="1"/>
      <c r="D91" s="1"/>
      <c r="E91" s="1"/>
      <c r="F91" s="25"/>
      <c r="G91" s="1"/>
      <c r="H91" s="22" t="e">
        <f>J91-CMB!#REF!*DSB!F29/2</f>
        <v>#REF!</v>
      </c>
      <c r="I91" s="1"/>
      <c r="J91" s="18" t="e">
        <f>(CMB!#REF!+CMB!#REF!*DSB!F29)/2</f>
        <v>#REF!</v>
      </c>
      <c r="K91" s="1"/>
      <c r="L91" s="18" t="e">
        <f>N91-CMB!#REF!*DSB!F29/2</f>
        <v>#REF!</v>
      </c>
      <c r="M91" s="1"/>
      <c r="N91" s="18" t="e">
        <f>(CMB!#REF!+CMB!#REF!*DSB!F29)/2</f>
        <v>#REF!</v>
      </c>
      <c r="O91" s="1"/>
      <c r="P91" s="25"/>
      <c r="Q91" s="1"/>
      <c r="R91" s="22"/>
      <c r="S91" s="1"/>
      <c r="T91" s="18"/>
      <c r="U91" s="1"/>
      <c r="V91" s="18">
        <f>W92-CMB!$L$63*(DSB!I29/2)</f>
        <v>0.4786892602010413</v>
      </c>
      <c r="W91" s="1"/>
      <c r="X91" s="1"/>
      <c r="Y91" s="1"/>
      <c r="Z91" s="27"/>
      <c r="AA91" s="27"/>
      <c r="AB91" s="1"/>
      <c r="AC91" s="25"/>
      <c r="AD91" s="1"/>
      <c r="AE91" s="90">
        <f>AG91-CMB!J108*DSB!C36/2</f>
        <v>0.14441811578946673</v>
      </c>
      <c r="AF91" s="1"/>
      <c r="AG91" s="87">
        <f>(CMB!J105+CMB!J108*DSB!C36)/2</f>
        <v>0.60025142242233043</v>
      </c>
      <c r="AH91" s="1"/>
      <c r="AI91" s="1"/>
      <c r="AJ91" s="87">
        <f>AL91-CMB!L108*DSB!C36/2</f>
        <v>0.4786892602010413</v>
      </c>
      <c r="AK91" s="1"/>
      <c r="AL91" s="89">
        <f>(CMB!L105+CMB!L108*DSB!C36)/2</f>
        <v>1.9895974113998589</v>
      </c>
      <c r="AM91" s="25"/>
      <c r="AN91" s="1"/>
      <c r="AO91" s="90">
        <f>AQ91-CMB!V107*DSB!C36/2</f>
        <v>0.5</v>
      </c>
      <c r="AP91" s="1"/>
      <c r="AQ91" s="87">
        <f>(CMB!V107*DSB!C36+CMB!V105)/2</f>
        <v>2.0781721847741705</v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1"/>
      <c r="O92" s="1"/>
      <c r="P92" s="25"/>
      <c r="Q92" s="1"/>
      <c r="R92" s="1"/>
      <c r="S92" s="1"/>
      <c r="T92" s="1"/>
      <c r="U92" s="1"/>
      <c r="V92" s="18"/>
      <c r="W92" s="87">
        <f>(CMB!$L$63*DSB!I29+CMB!$L$60)/2</f>
        <v>0.86464796238788333</v>
      </c>
      <c r="X92" s="1"/>
      <c r="Y92" s="1"/>
      <c r="Z92" s="1"/>
      <c r="AA92" s="1"/>
      <c r="AB92" s="1"/>
      <c r="AC92" s="25"/>
      <c r="AD92" s="1"/>
      <c r="AE92" s="1"/>
      <c r="AF92" s="1"/>
      <c r="AG92" s="1"/>
      <c r="AH92" s="1"/>
      <c r="AI92" s="1"/>
      <c r="AJ92" s="1"/>
      <c r="AK92" s="1"/>
      <c r="AL92" s="35"/>
      <c r="AM92" s="25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1"/>
      <c r="O93" s="1"/>
      <c r="P93" s="25"/>
      <c r="Q93" s="1"/>
      <c r="R93" s="1"/>
      <c r="S93" s="1"/>
      <c r="T93" s="1"/>
      <c r="U93" s="1"/>
      <c r="V93" s="1"/>
      <c r="W93" s="18"/>
      <c r="X93" s="1"/>
      <c r="Y93" s="1"/>
      <c r="Z93" s="1"/>
      <c r="AA93" s="1"/>
      <c r="AB93" s="1"/>
      <c r="AC93" s="25"/>
      <c r="AD93" s="1"/>
      <c r="AE93" s="1"/>
      <c r="AF93" s="1"/>
      <c r="AG93" s="1"/>
      <c r="AH93" s="1"/>
      <c r="AI93" s="1"/>
      <c r="AJ93" s="1"/>
      <c r="AK93" s="1"/>
      <c r="AL93" s="35"/>
      <c r="AM93" s="25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1"/>
      <c r="O94" s="1"/>
      <c r="P94" s="25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5"/>
      <c r="AD94" s="1"/>
      <c r="AE94" s="1"/>
      <c r="AF94" s="1"/>
      <c r="AG94" s="1"/>
      <c r="AH94" s="1"/>
      <c r="AI94" s="1"/>
      <c r="AJ94" s="1"/>
      <c r="AK94" s="1"/>
      <c r="AL94" s="35"/>
      <c r="AM94" s="25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>
      <c r="A95" s="1"/>
      <c r="B95" s="1"/>
      <c r="C95" s="1"/>
      <c r="D95" s="1"/>
      <c r="E95" s="1"/>
      <c r="F95" s="25"/>
      <c r="G95" s="1"/>
      <c r="H95" s="19"/>
      <c r="I95" s="1"/>
      <c r="J95" s="1"/>
      <c r="K95" s="1"/>
      <c r="L95" s="19"/>
      <c r="M95" s="1"/>
      <c r="N95" s="1"/>
      <c r="O95" s="1"/>
      <c r="P95" s="25"/>
      <c r="Q95" s="1"/>
      <c r="R95" s="19"/>
      <c r="S95" s="1"/>
      <c r="T95" s="1"/>
      <c r="U95" s="1"/>
      <c r="V95" s="19"/>
      <c r="W95" s="1"/>
      <c r="X95" s="1"/>
      <c r="Y95" s="1"/>
      <c r="Z95" s="1"/>
      <c r="AA95" s="1"/>
      <c r="AB95" s="1"/>
      <c r="AC95" s="25"/>
      <c r="AD95" s="1"/>
      <c r="AE95" s="19"/>
      <c r="AF95" s="1"/>
      <c r="AG95" s="1"/>
      <c r="AH95" s="1"/>
      <c r="AI95" s="19"/>
      <c r="AJ95" s="1"/>
      <c r="AK95" s="1"/>
      <c r="AL95" s="35"/>
      <c r="AM95" s="25"/>
      <c r="AN95" s="1"/>
      <c r="AO95" s="19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>
      <c r="A96" s="1"/>
      <c r="B96" s="1"/>
      <c r="C96" s="1"/>
      <c r="D96" s="1"/>
      <c r="E96" s="1"/>
      <c r="F96" s="25"/>
      <c r="G96" s="1"/>
      <c r="H96" s="19" t="e">
        <f>J91*(DSB!F29/2)-CMB!#REF!*(DSB!F29^2/8)</f>
        <v>#REF!</v>
      </c>
      <c r="I96" s="1"/>
      <c r="J96" s="1"/>
      <c r="K96" s="1"/>
      <c r="L96" s="19" t="e">
        <f>N91*(DSB!F29/2)-CMB!#REF!*(DSB!F29^2/8)</f>
        <v>#REF!</v>
      </c>
      <c r="M96" s="1"/>
      <c r="N96" s="1"/>
      <c r="O96" s="1"/>
      <c r="P96" s="25"/>
      <c r="Q96" s="1"/>
      <c r="R96" s="19"/>
      <c r="S96" s="1"/>
      <c r="T96" s="1"/>
      <c r="U96" s="1"/>
      <c r="V96" s="1"/>
      <c r="W96" s="1"/>
      <c r="X96" s="1"/>
      <c r="Y96" s="1"/>
      <c r="Z96" s="1"/>
      <c r="AA96" s="1"/>
      <c r="AB96" s="1"/>
      <c r="AC96" s="25"/>
      <c r="AD96" s="1"/>
      <c r="AE96" s="88">
        <f>AG91*(DSB!C36/2)-CMB!J108*(DSB!C36^2/8)</f>
        <v>0.46541846138237325</v>
      </c>
      <c r="AF96" s="1"/>
      <c r="AG96" s="1"/>
      <c r="AH96" s="1"/>
      <c r="AI96" s="1"/>
      <c r="AJ96" s="88">
        <f>AL91*(DSB!C36/2)-CMB!L108*(DSB!C36^2/8)</f>
        <v>1.5426791697505629</v>
      </c>
      <c r="AK96" s="1"/>
      <c r="AL96" s="35"/>
      <c r="AM96" s="25"/>
      <c r="AN96" s="1"/>
      <c r="AO96" s="88">
        <f>AQ91*(DSB!C36/2)-CMB!V107*(DSB!C36^2/8)</f>
        <v>1.6113576154838567</v>
      </c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1"/>
      <c r="O97" s="1"/>
      <c r="P97" s="25"/>
      <c r="Q97" s="1"/>
      <c r="R97" s="1"/>
      <c r="S97" s="1"/>
      <c r="T97" s="1"/>
      <c r="U97" s="1"/>
      <c r="V97" s="104">
        <f>W92*(DSB!I29/2)-(CMB!$L$63*(DSB!I29^2/8))</f>
        <v>0.51740830849393316</v>
      </c>
      <c r="W97" s="1"/>
      <c r="X97" s="1"/>
      <c r="Y97" s="1"/>
      <c r="Z97" s="1"/>
      <c r="AA97" s="1"/>
      <c r="AB97" s="1"/>
      <c r="AC97" s="25"/>
      <c r="AD97" s="1"/>
      <c r="AE97" s="1"/>
      <c r="AF97" s="1"/>
      <c r="AG97" s="1"/>
      <c r="AH97" s="1"/>
      <c r="AI97" s="1"/>
      <c r="AJ97" s="1"/>
      <c r="AK97" s="1"/>
      <c r="AL97" s="35"/>
      <c r="AM97" s="25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1"/>
      <c r="O98" s="1"/>
      <c r="P98" s="25"/>
      <c r="Q98" s="1"/>
      <c r="R98" s="1"/>
      <c r="S98" s="1"/>
      <c r="T98" s="1"/>
      <c r="U98" s="1"/>
      <c r="V98" s="19"/>
      <c r="W98" s="1"/>
      <c r="X98" s="1"/>
      <c r="Y98" s="1"/>
      <c r="Z98" s="1"/>
      <c r="AA98" s="1"/>
      <c r="AB98" s="1"/>
      <c r="AC98" s="25"/>
      <c r="AD98" s="1"/>
      <c r="AE98" s="1"/>
      <c r="AF98" s="1"/>
      <c r="AG98" s="1"/>
      <c r="AH98" s="1"/>
      <c r="AI98" s="1"/>
      <c r="AJ98" s="1"/>
      <c r="AK98" s="1"/>
      <c r="AL98" s="35"/>
      <c r="AM98" s="25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1"/>
      <c r="O99" s="1"/>
      <c r="P99" s="25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5"/>
      <c r="AD99" s="1"/>
      <c r="AE99" s="1"/>
      <c r="AF99" s="1"/>
      <c r="AG99" s="1"/>
      <c r="AH99" s="1"/>
      <c r="AI99" s="1"/>
      <c r="AJ99" s="1"/>
      <c r="AK99" s="1"/>
      <c r="AL99" s="35"/>
      <c r="AM99" s="25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>
      <c r="A100" s="1"/>
      <c r="B100" s="1"/>
      <c r="C100" s="1"/>
      <c r="D100" s="1"/>
      <c r="E100" s="1"/>
      <c r="F100" s="33"/>
      <c r="G100" s="34"/>
      <c r="H100" s="34"/>
      <c r="I100" s="34"/>
      <c r="J100" s="34"/>
      <c r="K100" s="34"/>
      <c r="L100" s="34"/>
      <c r="M100" s="34"/>
      <c r="N100" s="34"/>
      <c r="O100" s="34"/>
      <c r="P100" s="25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3"/>
      <c r="AD100" s="34"/>
      <c r="AE100" s="34"/>
      <c r="AF100" s="34"/>
      <c r="AG100" s="34"/>
      <c r="AH100" s="34"/>
      <c r="AI100" s="34"/>
      <c r="AJ100" s="34"/>
      <c r="AK100" s="34"/>
      <c r="AL100" s="35"/>
      <c r="AM100" s="33"/>
      <c r="AN100" s="34"/>
      <c r="AO100" s="34"/>
      <c r="AP100" s="34"/>
      <c r="AQ100" s="34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ht="15.6">
      <c r="A101" s="1"/>
      <c r="B101" s="1"/>
      <c r="C101" s="1"/>
      <c r="D101" s="1"/>
      <c r="E101" s="1"/>
      <c r="F101" s="40" t="s">
        <v>86</v>
      </c>
      <c r="G101" s="1"/>
      <c r="H101" s="1"/>
      <c r="I101" s="866" t="s">
        <v>192</v>
      </c>
      <c r="J101" s="866"/>
      <c r="K101" s="866"/>
      <c r="L101" s="1"/>
      <c r="M101" s="1"/>
      <c r="N101" s="1"/>
      <c r="O101" s="1"/>
      <c r="P101" s="41"/>
      <c r="Q101" s="43"/>
      <c r="R101" s="1"/>
      <c r="S101" s="866" t="s">
        <v>354</v>
      </c>
      <c r="T101" s="866"/>
      <c r="U101" s="866"/>
      <c r="V101" s="1"/>
      <c r="W101" s="1"/>
      <c r="X101" s="1"/>
      <c r="Y101" s="1"/>
      <c r="Z101" s="41"/>
      <c r="AA101" s="1"/>
      <c r="AB101" s="1"/>
      <c r="AC101" s="866" t="s">
        <v>191</v>
      </c>
      <c r="AD101" s="866"/>
      <c r="AE101" s="866"/>
      <c r="AF101" s="1"/>
      <c r="AG101" s="1"/>
      <c r="AH101" s="1"/>
      <c r="AI101" s="1"/>
      <c r="AJ101" s="67"/>
      <c r="AK101" s="91"/>
      <c r="AL101" s="43"/>
      <c r="AM101" s="43"/>
      <c r="AN101" s="861" t="s">
        <v>190</v>
      </c>
      <c r="AO101" s="861"/>
      <c r="AP101" s="861"/>
      <c r="AQ101" s="43"/>
      <c r="AR101" s="43"/>
      <c r="AS101" s="43"/>
      <c r="AT101" s="67"/>
      <c r="AU101" s="91"/>
      <c r="AV101" s="43"/>
      <c r="AW101" s="43"/>
      <c r="AX101" s="861" t="s">
        <v>172</v>
      </c>
      <c r="AY101" s="861"/>
      <c r="AZ101" s="861"/>
      <c r="BA101" s="43"/>
      <c r="BB101" s="43"/>
      <c r="BC101" s="43"/>
      <c r="BD101" s="67"/>
      <c r="BE101" s="1"/>
      <c r="BF101" s="1"/>
      <c r="BG101" s="1"/>
      <c r="BH101" s="1"/>
      <c r="BI101" s="1"/>
    </row>
    <row r="102" spans="1:61">
      <c r="A102" s="1"/>
      <c r="B102" s="1"/>
      <c r="C102" s="1"/>
      <c r="D102" s="1"/>
      <c r="E102" s="1"/>
      <c r="F102" s="65"/>
      <c r="G102" s="20"/>
      <c r="H102" s="20"/>
      <c r="I102" s="20"/>
      <c r="J102" s="20"/>
      <c r="K102" s="20"/>
      <c r="L102" s="20"/>
      <c r="M102" s="20"/>
      <c r="N102" s="20"/>
      <c r="O102" s="20"/>
      <c r="P102" s="25"/>
      <c r="Q102" s="1"/>
      <c r="R102" s="1"/>
      <c r="S102" s="1"/>
      <c r="T102" s="1"/>
      <c r="U102" s="1"/>
      <c r="V102" s="1"/>
      <c r="W102" s="1"/>
      <c r="X102" s="1"/>
      <c r="Y102" s="1"/>
      <c r="Z102" s="25"/>
      <c r="AA102" s="1"/>
      <c r="AB102" s="1"/>
      <c r="AC102" s="1"/>
      <c r="AD102" s="1"/>
      <c r="AE102" s="1"/>
      <c r="AF102" s="1"/>
      <c r="AG102" s="1"/>
      <c r="AH102" s="1"/>
      <c r="AI102" s="1"/>
      <c r="AJ102" s="35"/>
      <c r="AK102" s="65"/>
      <c r="AL102" s="20"/>
      <c r="AM102" s="20"/>
      <c r="AN102" s="20"/>
      <c r="AO102" s="20"/>
      <c r="AP102" s="20"/>
      <c r="AQ102" s="20"/>
      <c r="AR102" s="20"/>
      <c r="AS102" s="20"/>
      <c r="AT102" s="20"/>
      <c r="AU102" s="65"/>
      <c r="AV102" s="20"/>
      <c r="AW102" s="20"/>
      <c r="AX102" s="20"/>
      <c r="AY102" s="20"/>
      <c r="AZ102" s="20"/>
      <c r="BA102" s="20"/>
      <c r="BB102" s="20"/>
      <c r="BC102" s="20"/>
      <c r="BD102" s="92"/>
      <c r="BE102" s="1"/>
      <c r="BF102" s="1"/>
      <c r="BG102" s="1"/>
      <c r="BH102" s="1"/>
      <c r="BI102" s="1"/>
    </row>
    <row r="103" spans="1:61">
      <c r="A103" s="1"/>
      <c r="B103" s="1"/>
      <c r="C103" s="1"/>
      <c r="D103" s="1"/>
      <c r="E103" s="1"/>
      <c r="F103" s="119" t="s">
        <v>161</v>
      </c>
      <c r="G103" s="120">
        <f>($G$116-CMB!$O$148)/$G$118</f>
        <v>24.81009231441627</v>
      </c>
      <c r="H103" s="20"/>
      <c r="I103" s="20"/>
      <c r="J103" s="20"/>
      <c r="K103" s="20"/>
      <c r="L103" s="20"/>
      <c r="M103" s="20"/>
      <c r="N103" s="20"/>
      <c r="O103" s="20"/>
      <c r="P103" s="119" t="s">
        <v>161</v>
      </c>
      <c r="Q103" s="120">
        <f>($Q$116-CMB!O199)/$G$118</f>
        <v>17.379527988685314</v>
      </c>
      <c r="R103" s="1"/>
      <c r="S103" s="1"/>
      <c r="T103" s="1"/>
      <c r="U103" s="1"/>
      <c r="V103" s="1"/>
      <c r="W103" s="1"/>
      <c r="X103" s="1"/>
      <c r="Y103" s="1"/>
      <c r="Z103" s="119" t="s">
        <v>161</v>
      </c>
      <c r="AA103" s="120">
        <f>($AA$116-CMB!I148)/$G$118</f>
        <v>4.7875313025682651</v>
      </c>
      <c r="AB103" s="1"/>
      <c r="AC103" s="1"/>
      <c r="AD103" s="1"/>
      <c r="AE103" s="1"/>
      <c r="AF103" s="1"/>
      <c r="AG103" s="1"/>
      <c r="AH103" s="1"/>
      <c r="AI103" s="1"/>
      <c r="AJ103" s="35"/>
      <c r="AK103" s="119" t="s">
        <v>161</v>
      </c>
      <c r="AL103" s="120">
        <f>($AL$116-CMB!G148)/$G$118</f>
        <v>0</v>
      </c>
      <c r="AM103" s="20"/>
      <c r="AN103" s="20"/>
      <c r="AO103" s="20"/>
      <c r="AP103" s="20"/>
      <c r="AQ103" s="20"/>
      <c r="AR103" s="20"/>
      <c r="AS103" s="20"/>
      <c r="AT103" s="20"/>
      <c r="AU103" s="119" t="s">
        <v>161</v>
      </c>
      <c r="AV103" s="120">
        <f>($AV$116-AV112)/$G$118</f>
        <v>5.1932542943113384</v>
      </c>
      <c r="AW103" s="20"/>
      <c r="AX103" s="20"/>
      <c r="AY103" s="20"/>
      <c r="AZ103" s="20"/>
      <c r="BA103" s="20"/>
      <c r="BB103" s="20"/>
      <c r="BC103" s="20"/>
      <c r="BD103" s="92"/>
      <c r="BE103" s="1"/>
      <c r="BF103" s="1"/>
      <c r="BG103" s="1"/>
      <c r="BH103" s="1"/>
      <c r="BI103" s="1"/>
    </row>
    <row r="104" spans="1:61">
      <c r="A104" s="1"/>
      <c r="B104" s="1"/>
      <c r="C104" s="1"/>
      <c r="D104" s="1"/>
      <c r="E104" s="1"/>
      <c r="F104" s="121" t="s">
        <v>159</v>
      </c>
      <c r="G104" s="122">
        <f>$G$103*$G$119-CMB!$P$148</f>
        <v>23.752649471014927</v>
      </c>
      <c r="H104" s="20"/>
      <c r="I104" s="20"/>
      <c r="J104" s="20"/>
      <c r="K104" s="20"/>
      <c r="L104" s="20"/>
      <c r="M104" s="20"/>
      <c r="N104" s="20"/>
      <c r="O104" s="20"/>
      <c r="P104" s="121" t="s">
        <v>159</v>
      </c>
      <c r="Q104" s="122">
        <f>Q103*$G$119-CMB!L199</f>
        <v>16.638786791094127</v>
      </c>
      <c r="R104" s="1"/>
      <c r="S104" s="1"/>
      <c r="T104" s="1"/>
      <c r="U104" s="1"/>
      <c r="V104" s="1"/>
      <c r="W104" s="1"/>
      <c r="X104" s="1"/>
      <c r="Y104" s="1"/>
      <c r="Z104" s="121" t="s">
        <v>159</v>
      </c>
      <c r="AA104" s="122">
        <f>AA103*$G$119-CMB!J148</f>
        <v>4.5834796348314599</v>
      </c>
      <c r="AB104" s="1"/>
      <c r="AC104" s="1"/>
      <c r="AD104" s="1"/>
      <c r="AE104" s="1"/>
      <c r="AF104" s="1"/>
      <c r="AG104" s="1"/>
      <c r="AH104" s="1"/>
      <c r="AI104" s="1"/>
      <c r="AJ104" s="35"/>
      <c r="AK104" s="121" t="s">
        <v>159</v>
      </c>
      <c r="AL104" s="122">
        <f>AL103*$G$119-CMB!H148</f>
        <v>0</v>
      </c>
      <c r="AM104" s="20"/>
      <c r="AN104" s="20"/>
      <c r="AO104" s="20"/>
      <c r="AP104" s="20"/>
      <c r="AQ104" s="20"/>
      <c r="AR104" s="20"/>
      <c r="AS104" s="20"/>
      <c r="AT104" s="20"/>
      <c r="AU104" s="121" t="s">
        <v>159</v>
      </c>
      <c r="AV104" s="122">
        <f>AV103*$G$119-AV113</f>
        <v>4.9719101123595504</v>
      </c>
      <c r="AW104" s="20"/>
      <c r="AX104" s="20"/>
      <c r="AY104" s="20"/>
      <c r="AZ104" s="20"/>
      <c r="BA104" s="20"/>
      <c r="BB104" s="20"/>
      <c r="BC104" s="20"/>
      <c r="BD104" s="92"/>
      <c r="BE104" s="1"/>
      <c r="BF104" s="1"/>
      <c r="BG104" s="1"/>
      <c r="BH104" s="1"/>
      <c r="BI104" s="1"/>
    </row>
    <row r="105" spans="1:61">
      <c r="A105" s="1"/>
      <c r="B105" s="1"/>
      <c r="C105" s="1"/>
      <c r="D105" s="1"/>
      <c r="E105" s="1"/>
      <c r="F105" s="119" t="s">
        <v>287</v>
      </c>
      <c r="G105" s="120">
        <f>-((-2*$G$118*CMB!$P$151+CMB!$P$151*$G$118-CMB!$O$151*$G$119)/(2*$G$118*$G$119))</f>
        <v>8.27003077147209</v>
      </c>
      <c r="H105" s="38"/>
      <c r="I105" s="38"/>
      <c r="J105" s="38"/>
      <c r="K105" s="38"/>
      <c r="L105" s="38"/>
      <c r="M105" s="38"/>
      <c r="N105" s="38"/>
      <c r="O105" s="20"/>
      <c r="P105" s="119" t="s">
        <v>287</v>
      </c>
      <c r="Q105" s="120">
        <f>-((-2*$G$118*CMB!L202+CMB!L202*$G$118-CMB!K202*$G$119)/(2*$G$118*$G$119))</f>
        <v>4.197332228705684</v>
      </c>
      <c r="R105" s="1"/>
      <c r="S105" s="1"/>
      <c r="T105" s="1"/>
      <c r="U105" s="1"/>
      <c r="V105" s="1"/>
      <c r="W105" s="1"/>
      <c r="X105" s="1"/>
      <c r="Y105" s="1"/>
      <c r="Z105" s="119" t="s">
        <v>287</v>
      </c>
      <c r="AA105" s="120">
        <f>-((-2*$G$118*CMB!J151+CMB!J151*$G$118-CMB!I151*$G$119)/(2*$G$118*$G$119))</f>
        <v>1.595843767522755</v>
      </c>
      <c r="AB105" s="1"/>
      <c r="AC105" s="1"/>
      <c r="AD105" s="1"/>
      <c r="AE105" s="1"/>
      <c r="AF105" s="1"/>
      <c r="AG105" s="1"/>
      <c r="AH105" s="1"/>
      <c r="AI105" s="1"/>
      <c r="AJ105" s="35"/>
      <c r="AK105" s="119" t="s">
        <v>287</v>
      </c>
      <c r="AL105" s="120">
        <f>-((-2*$G$118*CMB!H151+CMB!H151*$G$118-CMB!G151*$G$119)/(2*$G$118*$G$119))</f>
        <v>0</v>
      </c>
      <c r="AM105" s="38"/>
      <c r="AN105" s="38"/>
      <c r="AO105" s="38"/>
      <c r="AP105" s="38"/>
      <c r="AQ105" s="38"/>
      <c r="AR105" s="38"/>
      <c r="AS105" s="38"/>
      <c r="AT105" s="20"/>
      <c r="AU105" s="119" t="s">
        <v>287</v>
      </c>
      <c r="AV105" s="120">
        <f>-((-2*$G$118*AV113+AV113*$G$118-AV112*$G$119)/(2*$G$118*$G$119))</f>
        <v>1.7310847647704461</v>
      </c>
      <c r="AW105" s="38"/>
      <c r="AX105" s="38"/>
      <c r="AY105" s="38"/>
      <c r="AZ105" s="38"/>
      <c r="BA105" s="38"/>
      <c r="BB105" s="38"/>
      <c r="BC105" s="38"/>
      <c r="BD105" s="92"/>
      <c r="BE105" s="1"/>
      <c r="BF105" s="1"/>
      <c r="BG105" s="1"/>
      <c r="BH105" s="1"/>
      <c r="BI105" s="1"/>
    </row>
    <row r="106" spans="1:61">
      <c r="A106" s="1"/>
      <c r="B106" s="1"/>
      <c r="C106" s="1"/>
      <c r="D106" s="1"/>
      <c r="E106" s="1"/>
      <c r="F106" s="119" t="s">
        <v>160</v>
      </c>
      <c r="G106" s="120">
        <f>$G$103-(CMB!$O$151/(2*$G$118))+(CMB!$P$151/(2*$G$119))</f>
        <v>16.54006154294418</v>
      </c>
      <c r="H106" s="38"/>
      <c r="I106" s="38"/>
      <c r="J106" s="38"/>
      <c r="K106" s="38"/>
      <c r="L106" s="38"/>
      <c r="M106" s="38"/>
      <c r="N106" s="38"/>
      <c r="O106" s="20"/>
      <c r="P106" s="119" t="s">
        <v>160</v>
      </c>
      <c r="Q106" s="120">
        <f>Q103-(CMB!K202/(2*$G$118))+(CMB!L202/(2*$G$119))</f>
        <v>13.182195759979631</v>
      </c>
      <c r="R106" s="37"/>
      <c r="S106" s="38"/>
      <c r="T106" s="37"/>
      <c r="U106" s="37"/>
      <c r="V106" s="1"/>
      <c r="W106" s="1"/>
      <c r="X106" s="1"/>
      <c r="Y106" s="1"/>
      <c r="Z106" s="119" t="s">
        <v>160</v>
      </c>
      <c r="AA106" s="120">
        <f>AA103-(CMB!I151/(2*$G$118))+(CMB!J151/(2*$G$119))</f>
        <v>3.1916875350455101</v>
      </c>
      <c r="AB106" s="37"/>
      <c r="AC106" s="38"/>
      <c r="AD106" s="37"/>
      <c r="AE106" s="37"/>
      <c r="AF106" s="1"/>
      <c r="AG106" s="1"/>
      <c r="AH106" s="1"/>
      <c r="AI106" s="1"/>
      <c r="AJ106" s="35"/>
      <c r="AK106" s="119" t="s">
        <v>160</v>
      </c>
      <c r="AL106" s="120">
        <f>AL103-(CMB!G151/(2*$G$118))+(CMB!H151/(2*$G$119))</f>
        <v>0</v>
      </c>
      <c r="AM106" s="38"/>
      <c r="AN106" s="38"/>
      <c r="AO106" s="38"/>
      <c r="AP106" s="38"/>
      <c r="AQ106" s="38"/>
      <c r="AR106" s="38"/>
      <c r="AS106" s="38"/>
      <c r="AT106" s="20"/>
      <c r="AU106" s="119" t="s">
        <v>160</v>
      </c>
      <c r="AV106" s="120">
        <f>AV103-(AV112/(2*$G$118))+(AV113/(2*$G$119))</f>
        <v>3.4621695295408923</v>
      </c>
      <c r="AW106" s="38"/>
      <c r="AX106" s="38"/>
      <c r="AY106" s="38"/>
      <c r="AZ106" s="38"/>
      <c r="BA106" s="38"/>
      <c r="BB106" s="38"/>
      <c r="BC106" s="38"/>
      <c r="BD106" s="92"/>
      <c r="BE106" s="1"/>
      <c r="BF106" s="1"/>
      <c r="BG106" s="1"/>
      <c r="BH106" s="1"/>
      <c r="BI106" s="1"/>
    </row>
    <row r="107" spans="1:61">
      <c r="A107" s="1"/>
      <c r="B107" s="1"/>
      <c r="C107" s="1"/>
      <c r="D107" s="1"/>
      <c r="E107" s="1"/>
      <c r="F107" s="121" t="s">
        <v>288</v>
      </c>
      <c r="G107" s="122">
        <f>-CMB!$O$153+(2*$G$103-CMB!$O$151/$G$118+CMB!$P$151/$G$119)*$G$118</f>
        <v>4.7773690461476352</v>
      </c>
      <c r="H107" s="38"/>
      <c r="I107" s="38"/>
      <c r="J107" s="38"/>
      <c r="K107" s="38"/>
      <c r="L107" s="38"/>
      <c r="M107" s="38"/>
      <c r="N107" s="38"/>
      <c r="O107" s="20"/>
      <c r="P107" s="121" t="s">
        <v>288</v>
      </c>
      <c r="Q107" s="122">
        <f>-CMB!K204+(2*Q103-CMB!K202/$G$118+CMB!L202/$G$119)*$G$118</f>
        <v>5.1903082472483106</v>
      </c>
      <c r="R107" s="37"/>
      <c r="S107" s="37"/>
      <c r="T107" s="37"/>
      <c r="U107" s="37"/>
      <c r="V107" s="1"/>
      <c r="W107" s="1"/>
      <c r="X107" s="1"/>
      <c r="Y107" s="1"/>
      <c r="Z107" s="121" t="s">
        <v>288</v>
      </c>
      <c r="AA107" s="122">
        <f>-CMB!I153+(2*AA103-CMB!I151/$G$118+CMB!J151/$G$119)*$G$118</f>
        <v>0.92187500000000022</v>
      </c>
      <c r="AB107" s="37"/>
      <c r="AC107" s="37"/>
      <c r="AD107" s="37"/>
      <c r="AE107" s="37"/>
      <c r="AF107" s="1"/>
      <c r="AG107" s="1"/>
      <c r="AH107" s="1"/>
      <c r="AI107" s="1"/>
      <c r="AJ107" s="35"/>
      <c r="AK107" s="121" t="s">
        <v>288</v>
      </c>
      <c r="AL107" s="122">
        <f>-CMB!G153+(2*AL103-CMB!G151/$G$118+CMB!H151/$G$119)*$G$118</f>
        <v>0</v>
      </c>
      <c r="AM107" s="38"/>
      <c r="AN107" s="38"/>
      <c r="AO107" s="38"/>
      <c r="AP107" s="38"/>
      <c r="AQ107" s="38"/>
      <c r="AR107" s="38"/>
      <c r="AS107" s="38"/>
      <c r="AT107" s="20"/>
      <c r="AU107" s="121" t="s">
        <v>288</v>
      </c>
      <c r="AV107" s="122">
        <f>-AV112+(2*AV103-AV112/$G$118+AV113/$G$119)*$G$118</f>
        <v>1</v>
      </c>
      <c r="AW107" s="38"/>
      <c r="AX107" s="38"/>
      <c r="AY107" s="38"/>
      <c r="AZ107" s="38"/>
      <c r="BA107" s="38"/>
      <c r="BB107" s="38"/>
      <c r="BC107" s="38"/>
      <c r="BD107" s="92"/>
      <c r="BE107" s="1"/>
      <c r="BF107" s="1"/>
      <c r="BG107" s="1"/>
      <c r="BH107" s="1"/>
      <c r="BI107" s="1"/>
    </row>
    <row r="108" spans="1:61">
      <c r="A108" s="1"/>
      <c r="B108" s="1"/>
      <c r="C108" s="1"/>
      <c r="D108" s="1"/>
      <c r="E108" s="1"/>
      <c r="F108" s="119"/>
      <c r="G108" s="120"/>
      <c r="H108" s="38"/>
      <c r="I108" s="38"/>
      <c r="J108" s="38"/>
      <c r="K108" s="38"/>
      <c r="L108" s="38"/>
      <c r="M108" s="38"/>
      <c r="N108" s="38"/>
      <c r="O108" s="20"/>
      <c r="P108" s="119"/>
      <c r="Q108" s="120"/>
      <c r="R108" s="37"/>
      <c r="S108" s="37"/>
      <c r="T108" s="37"/>
      <c r="U108" s="37"/>
      <c r="V108" s="1"/>
      <c r="W108" s="1"/>
      <c r="X108" s="1"/>
      <c r="Y108" s="1"/>
      <c r="Z108" s="119"/>
      <c r="AA108" s="120"/>
      <c r="AB108" s="37"/>
      <c r="AC108" s="37"/>
      <c r="AD108" s="37"/>
      <c r="AE108" s="37"/>
      <c r="AF108" s="1"/>
      <c r="AG108" s="1"/>
      <c r="AH108" s="1"/>
      <c r="AI108" s="1"/>
      <c r="AJ108" s="35"/>
      <c r="AK108" s="119"/>
      <c r="AL108" s="120"/>
      <c r="AM108" s="38"/>
      <c r="AN108" s="38"/>
      <c r="AO108" s="38"/>
      <c r="AP108" s="38"/>
      <c r="AQ108" s="38"/>
      <c r="AR108" s="38"/>
      <c r="AS108" s="38"/>
      <c r="AT108" s="20"/>
      <c r="AU108" s="119"/>
      <c r="AV108" s="120"/>
      <c r="AW108" s="38"/>
      <c r="AX108" s="38"/>
      <c r="AY108" s="38"/>
      <c r="AZ108" s="38"/>
      <c r="BA108" s="38"/>
      <c r="BB108" s="38"/>
      <c r="BC108" s="38"/>
      <c r="BD108" s="92"/>
      <c r="BE108" s="1"/>
      <c r="BF108" s="1"/>
      <c r="BG108" s="1"/>
      <c r="BH108" s="1"/>
      <c r="BI108" s="1"/>
    </row>
    <row r="109" spans="1:61">
      <c r="A109" s="1"/>
      <c r="B109" s="1"/>
      <c r="C109" s="1"/>
      <c r="D109" s="1"/>
      <c r="E109" s="1"/>
      <c r="F109" s="121"/>
      <c r="G109" s="122"/>
      <c r="H109" s="38"/>
      <c r="I109" s="38"/>
      <c r="J109" s="38"/>
      <c r="K109" s="39"/>
      <c r="L109" s="38"/>
      <c r="M109" s="38"/>
      <c r="N109" s="38"/>
      <c r="O109" s="20"/>
      <c r="P109" s="121"/>
      <c r="Q109" s="122"/>
      <c r="R109" s="37"/>
      <c r="S109" s="37"/>
      <c r="T109" s="37"/>
      <c r="U109" s="39"/>
      <c r="V109" s="1"/>
      <c r="W109" s="1"/>
      <c r="X109" s="1"/>
      <c r="Y109" s="1"/>
      <c r="Z109" s="121"/>
      <c r="AA109" s="122"/>
      <c r="AB109" s="37"/>
      <c r="AC109" s="37"/>
      <c r="AD109" s="37"/>
      <c r="AE109" s="39"/>
      <c r="AF109" s="1"/>
      <c r="AG109" s="1"/>
      <c r="AH109" s="1"/>
      <c r="AI109" s="1"/>
      <c r="AJ109" s="35"/>
      <c r="AK109" s="121"/>
      <c r="AL109" s="122"/>
      <c r="AM109" s="38"/>
      <c r="AN109" s="38"/>
      <c r="AO109" s="38"/>
      <c r="AP109" s="39"/>
      <c r="AQ109" s="38"/>
      <c r="AR109" s="38"/>
      <c r="AS109" s="38"/>
      <c r="AT109" s="20"/>
      <c r="AU109" s="121"/>
      <c r="AV109" s="122"/>
      <c r="AW109" s="38"/>
      <c r="AX109" s="38"/>
      <c r="AY109" s="38"/>
      <c r="AZ109" s="39"/>
      <c r="BA109" s="38"/>
      <c r="BB109" s="38"/>
      <c r="BC109" s="38"/>
      <c r="BD109" s="92"/>
      <c r="BE109" s="1"/>
      <c r="BF109" s="1"/>
      <c r="BG109" s="1"/>
      <c r="BH109" s="1"/>
      <c r="BI109" s="1"/>
    </row>
    <row r="110" spans="1:61">
      <c r="A110" s="1"/>
      <c r="B110" s="1"/>
      <c r="C110" s="1"/>
      <c r="D110" s="1"/>
      <c r="E110" s="1"/>
      <c r="F110" s="121"/>
      <c r="G110" s="122"/>
      <c r="H110" s="38"/>
      <c r="I110" s="38"/>
      <c r="J110" s="38"/>
      <c r="K110" s="38"/>
      <c r="L110" s="38"/>
      <c r="M110" s="38"/>
      <c r="N110" s="38"/>
      <c r="O110" s="20"/>
      <c r="P110" s="121"/>
      <c r="Q110" s="122"/>
      <c r="R110" s="37"/>
      <c r="S110" s="37"/>
      <c r="T110" s="37"/>
      <c r="U110" s="37"/>
      <c r="V110" s="1"/>
      <c r="W110" s="1"/>
      <c r="X110" s="1"/>
      <c r="Y110" s="1"/>
      <c r="Z110" s="121"/>
      <c r="AA110" s="122"/>
      <c r="AB110" s="37"/>
      <c r="AC110" s="37"/>
      <c r="AD110" s="37"/>
      <c r="AE110" s="37"/>
      <c r="AF110" s="1"/>
      <c r="AG110" s="1"/>
      <c r="AH110" s="1"/>
      <c r="AI110" s="1"/>
      <c r="AJ110" s="35"/>
      <c r="AK110" s="121"/>
      <c r="AL110" s="122"/>
      <c r="AM110" s="38"/>
      <c r="AN110" s="38"/>
      <c r="AO110" s="38"/>
      <c r="AP110" s="38"/>
      <c r="AQ110" s="38"/>
      <c r="AR110" s="38"/>
      <c r="AS110" s="38"/>
      <c r="AT110" s="20"/>
      <c r="AU110" s="121"/>
      <c r="AV110" s="122"/>
      <c r="AW110" s="38"/>
      <c r="AX110" s="38"/>
      <c r="AY110" s="38"/>
      <c r="AZ110" s="38"/>
      <c r="BA110" s="38"/>
      <c r="BB110" s="38"/>
      <c r="BC110" s="38"/>
      <c r="BD110" s="92"/>
      <c r="BE110" s="1"/>
      <c r="BF110" s="1"/>
      <c r="BG110" s="1"/>
      <c r="BH110" s="1"/>
      <c r="BI110" s="1"/>
    </row>
    <row r="111" spans="1:61">
      <c r="A111" s="1"/>
      <c r="B111" s="1"/>
      <c r="C111" s="1"/>
      <c r="D111" s="1"/>
      <c r="E111" s="1"/>
      <c r="F111" s="119"/>
      <c r="G111" s="120"/>
      <c r="H111" s="38"/>
      <c r="I111" s="39"/>
      <c r="J111" s="38"/>
      <c r="K111" s="38"/>
      <c r="L111" s="38"/>
      <c r="M111" s="38"/>
      <c r="N111" s="38"/>
      <c r="O111" s="20"/>
      <c r="P111" s="119"/>
      <c r="Q111" s="120"/>
      <c r="R111" s="37"/>
      <c r="S111" s="39"/>
      <c r="T111" s="37"/>
      <c r="U111" s="37"/>
      <c r="V111" s="1"/>
      <c r="W111" s="1"/>
      <c r="X111" s="1"/>
      <c r="Y111" s="1"/>
      <c r="Z111" s="119"/>
      <c r="AA111" s="120"/>
      <c r="AB111" s="37"/>
      <c r="AC111" s="39"/>
      <c r="AD111" s="37"/>
      <c r="AE111" s="37"/>
      <c r="AF111" s="1"/>
      <c r="AG111" s="1"/>
      <c r="AH111" s="1"/>
      <c r="AI111" s="1"/>
      <c r="AJ111" s="35"/>
      <c r="AK111" s="119"/>
      <c r="AL111" s="120"/>
      <c r="AM111" s="38"/>
      <c r="AN111" s="39"/>
      <c r="AO111" s="38"/>
      <c r="AP111" s="38"/>
      <c r="AQ111" s="38"/>
      <c r="AR111" s="38"/>
      <c r="AS111" s="38"/>
      <c r="AT111" s="20"/>
      <c r="AU111" s="119"/>
      <c r="AV111" s="120"/>
      <c r="AW111" s="38"/>
      <c r="AX111" s="39"/>
      <c r="AY111" s="38"/>
      <c r="AZ111" s="38"/>
      <c r="BA111" s="38"/>
      <c r="BB111" s="38"/>
      <c r="BC111" s="38"/>
      <c r="BD111" s="92"/>
      <c r="BE111" s="1"/>
      <c r="BF111" s="1"/>
      <c r="BG111" s="1"/>
      <c r="BH111" s="1"/>
      <c r="BI111" s="1"/>
    </row>
    <row r="112" spans="1:61">
      <c r="A112" s="1"/>
      <c r="B112" s="1"/>
      <c r="C112" s="1"/>
      <c r="D112" s="1"/>
      <c r="E112" s="1"/>
      <c r="F112" s="119"/>
      <c r="G112" s="120"/>
      <c r="H112" s="38"/>
      <c r="I112" s="38"/>
      <c r="J112" s="38"/>
      <c r="K112" s="38"/>
      <c r="L112" s="38"/>
      <c r="M112" s="38"/>
      <c r="N112" s="38"/>
      <c r="O112" s="20"/>
      <c r="P112" s="119"/>
      <c r="Q112" s="120"/>
      <c r="R112" s="37"/>
      <c r="S112" s="37"/>
      <c r="T112" s="37"/>
      <c r="U112" s="37"/>
      <c r="V112" s="1"/>
      <c r="W112" s="1"/>
      <c r="X112" s="1"/>
      <c r="Y112" s="1"/>
      <c r="Z112" s="119"/>
      <c r="AA112" s="120"/>
      <c r="AB112" s="37"/>
      <c r="AC112" s="37"/>
      <c r="AD112" s="37"/>
      <c r="AE112" s="37"/>
      <c r="AF112" s="1"/>
      <c r="AG112" s="1"/>
      <c r="AH112" s="1"/>
      <c r="AI112" s="1"/>
      <c r="AJ112" s="35"/>
      <c r="AK112" s="119"/>
      <c r="AL112" s="120"/>
      <c r="AM112" s="38"/>
      <c r="AN112" s="38"/>
      <c r="AO112" s="38"/>
      <c r="AP112" s="38"/>
      <c r="AQ112" s="38"/>
      <c r="AR112" s="38"/>
      <c r="AS112" s="38"/>
      <c r="AT112" s="20"/>
      <c r="AU112" s="119" t="s">
        <v>291</v>
      </c>
      <c r="AV112" s="120">
        <v>1</v>
      </c>
      <c r="AW112" s="38"/>
      <c r="AX112" s="38"/>
      <c r="AY112" s="38"/>
      <c r="AZ112" s="38"/>
      <c r="BA112" s="38"/>
      <c r="BB112" s="38"/>
      <c r="BC112" s="38"/>
      <c r="BD112" s="92"/>
      <c r="BE112" s="1"/>
      <c r="BF112" s="1"/>
      <c r="BG112" s="1"/>
      <c r="BH112" s="1"/>
      <c r="BI112" s="1"/>
    </row>
    <row r="113" spans="1:61">
      <c r="A113" s="1"/>
      <c r="B113" s="1"/>
      <c r="C113" s="1"/>
      <c r="D113" s="1"/>
      <c r="E113" s="1"/>
      <c r="F113" s="121"/>
      <c r="G113" s="122"/>
      <c r="H113" s="38"/>
      <c r="I113" s="38"/>
      <c r="J113" s="38"/>
      <c r="K113" s="38"/>
      <c r="L113" s="38"/>
      <c r="M113" s="38"/>
      <c r="N113" s="38"/>
      <c r="O113" s="20"/>
      <c r="P113" s="121"/>
      <c r="Q113" s="122"/>
      <c r="R113" s="37"/>
      <c r="S113" s="37"/>
      <c r="T113" s="37"/>
      <c r="U113" s="37"/>
      <c r="V113" s="1"/>
      <c r="W113" s="1"/>
      <c r="X113" s="1"/>
      <c r="Y113" s="1"/>
      <c r="Z113" s="121"/>
      <c r="AA113" s="122"/>
      <c r="AB113" s="37"/>
      <c r="AC113" s="37"/>
      <c r="AD113" s="37"/>
      <c r="AE113" s="37"/>
      <c r="AF113" s="1"/>
      <c r="AG113" s="1"/>
      <c r="AH113" s="1"/>
      <c r="AI113" s="1"/>
      <c r="AJ113" s="35"/>
      <c r="AK113" s="121"/>
      <c r="AL113" s="122"/>
      <c r="AM113" s="38"/>
      <c r="AN113" s="38"/>
      <c r="AO113" s="38"/>
      <c r="AP113" s="38"/>
      <c r="AQ113" s="38"/>
      <c r="AR113" s="38"/>
      <c r="AS113" s="38"/>
      <c r="AT113" s="20"/>
      <c r="AU113" s="121" t="s">
        <v>292</v>
      </c>
      <c r="AV113" s="122">
        <v>0</v>
      </c>
      <c r="AW113" s="38"/>
      <c r="AX113" s="38"/>
      <c r="AY113" s="38"/>
      <c r="AZ113" s="38"/>
      <c r="BA113" s="38"/>
      <c r="BB113" s="38"/>
      <c r="BC113" s="38"/>
      <c r="BD113" s="92"/>
      <c r="BE113" s="1"/>
      <c r="BF113" s="1"/>
      <c r="BG113" s="1"/>
      <c r="BH113" s="1"/>
      <c r="BI113" s="1"/>
    </row>
    <row r="114" spans="1:61">
      <c r="A114" s="1"/>
      <c r="B114" s="1"/>
      <c r="C114" s="1"/>
      <c r="D114" s="1"/>
      <c r="E114" s="1"/>
      <c r="F114" s="94"/>
      <c r="G114" s="95"/>
      <c r="H114" s="38"/>
      <c r="I114" s="38"/>
      <c r="J114" s="38"/>
      <c r="K114" s="39"/>
      <c r="L114" s="38"/>
      <c r="M114" s="38"/>
      <c r="N114" s="38"/>
      <c r="O114" s="20"/>
      <c r="P114" s="101"/>
      <c r="Q114" s="102"/>
      <c r="R114" s="38"/>
      <c r="S114" s="37"/>
      <c r="T114" s="37"/>
      <c r="U114" s="37"/>
      <c r="V114" s="1"/>
      <c r="W114" s="1"/>
      <c r="X114" s="1"/>
      <c r="Y114" s="1"/>
      <c r="Z114" s="101"/>
      <c r="AA114" s="102"/>
      <c r="AB114" s="38"/>
      <c r="AC114" s="37"/>
      <c r="AD114" s="37"/>
      <c r="AE114" s="37"/>
      <c r="AF114" s="1"/>
      <c r="AG114" s="1"/>
      <c r="AH114" s="1"/>
      <c r="AI114" s="1"/>
      <c r="AJ114" s="35"/>
      <c r="AK114" s="101"/>
      <c r="AL114" s="102"/>
      <c r="AM114" s="38"/>
      <c r="AN114" s="38"/>
      <c r="AO114" s="38"/>
      <c r="AP114" s="39"/>
      <c r="AQ114" s="38"/>
      <c r="AR114" s="38"/>
      <c r="AS114" s="38"/>
      <c r="AT114" s="20"/>
      <c r="AU114" s="101"/>
      <c r="AV114" s="102"/>
      <c r="AW114" s="38"/>
      <c r="AX114" s="38"/>
      <c r="AY114" s="38"/>
      <c r="AZ114" s="39"/>
      <c r="BA114" s="38"/>
      <c r="BB114" s="38"/>
      <c r="BC114" s="38"/>
      <c r="BD114" s="92"/>
      <c r="BE114" s="1"/>
      <c r="BF114" s="1"/>
      <c r="BG114" s="1"/>
      <c r="BH114" s="1"/>
      <c r="BI114" s="1"/>
    </row>
    <row r="115" spans="1:61">
      <c r="A115" s="1"/>
      <c r="B115" s="1"/>
      <c r="C115" s="1"/>
      <c r="D115" s="1"/>
      <c r="E115" s="1"/>
      <c r="F115" s="94"/>
      <c r="G115" s="96"/>
      <c r="H115" s="38"/>
      <c r="I115" s="38"/>
      <c r="J115" s="38"/>
      <c r="K115" s="20"/>
      <c r="L115" s="38"/>
      <c r="M115" s="38"/>
      <c r="N115" s="38"/>
      <c r="O115" s="20"/>
      <c r="P115" s="101"/>
      <c r="Q115" s="86"/>
      <c r="R115" s="1"/>
      <c r="S115" s="1"/>
      <c r="T115" s="1"/>
      <c r="U115" s="1"/>
      <c r="V115" s="1"/>
      <c r="W115" s="1"/>
      <c r="X115" s="1"/>
      <c r="Y115" s="1"/>
      <c r="Z115" s="101"/>
      <c r="AA115" s="86"/>
      <c r="AB115" s="1"/>
      <c r="AC115" s="1"/>
      <c r="AD115" s="1"/>
      <c r="AE115" s="1"/>
      <c r="AF115" s="1"/>
      <c r="AG115" s="1"/>
      <c r="AH115" s="1"/>
      <c r="AI115" s="1"/>
      <c r="AJ115" s="35"/>
      <c r="AK115" s="101"/>
      <c r="AL115" s="86"/>
      <c r="AM115" s="38"/>
      <c r="AN115" s="38"/>
      <c r="AO115" s="38"/>
      <c r="AP115" s="20"/>
      <c r="AQ115" s="38"/>
      <c r="AR115" s="38"/>
      <c r="AS115" s="38"/>
      <c r="AT115" s="20"/>
      <c r="AU115" s="101"/>
      <c r="AV115" s="86"/>
      <c r="AW115" s="38"/>
      <c r="AX115" s="38"/>
      <c r="AY115" s="38"/>
      <c r="AZ115" s="20"/>
      <c r="BA115" s="38"/>
      <c r="BB115" s="38"/>
      <c r="BC115" s="38"/>
      <c r="BD115" s="92"/>
      <c r="BE115" s="1"/>
      <c r="BF115" s="1"/>
      <c r="BG115" s="1"/>
      <c r="BH115" s="1"/>
      <c r="BI115" s="1"/>
    </row>
    <row r="116" spans="1:61" ht="15.6">
      <c r="A116" s="1"/>
      <c r="B116" s="1"/>
      <c r="C116" s="1"/>
      <c r="D116" s="1"/>
      <c r="E116" s="1"/>
      <c r="F116" s="123" t="s">
        <v>225</v>
      </c>
      <c r="G116" s="42">
        <f>SUM(CMB!$O$148:$O$153)/2</f>
        <v>11.645070405297538</v>
      </c>
      <c r="H116" s="38"/>
      <c r="I116" s="38"/>
      <c r="J116" s="38"/>
      <c r="K116" s="38"/>
      <c r="L116" s="38"/>
      <c r="M116" s="38"/>
      <c r="N116" s="38"/>
      <c r="O116" s="20"/>
      <c r="P116" s="123" t="s">
        <v>225</v>
      </c>
      <c r="Q116" s="42">
        <f>SUM(CMB!O199:O204)/2</f>
        <v>8.1549610037839546</v>
      </c>
      <c r="R116" s="1"/>
      <c r="S116" s="1"/>
      <c r="T116" s="1"/>
      <c r="U116" s="1"/>
      <c r="V116" s="1"/>
      <c r="W116" s="1"/>
      <c r="X116" s="1"/>
      <c r="Y116" s="1"/>
      <c r="Z116" s="123" t="s">
        <v>225</v>
      </c>
      <c r="AA116" s="42">
        <f>SUM(CMB!I148:I153)/2</f>
        <v>2.28125</v>
      </c>
      <c r="AB116" s="1"/>
      <c r="AC116" s="1"/>
      <c r="AD116" s="1"/>
      <c r="AE116" s="1"/>
      <c r="AF116" s="1"/>
      <c r="AG116" s="1"/>
      <c r="AH116" s="1"/>
      <c r="AI116" s="1"/>
      <c r="AJ116" s="35"/>
      <c r="AK116" s="123" t="s">
        <v>225</v>
      </c>
      <c r="AL116" s="42">
        <f>SUM(CMB!G148:G153)/2</f>
        <v>0</v>
      </c>
      <c r="AM116" s="38"/>
      <c r="AN116" s="38"/>
      <c r="AO116" s="38"/>
      <c r="AP116" s="38"/>
      <c r="AQ116" s="38"/>
      <c r="AR116" s="38"/>
      <c r="AS116" s="38"/>
      <c r="AT116" s="20"/>
      <c r="AU116" s="123" t="s">
        <v>225</v>
      </c>
      <c r="AV116" s="42">
        <f>5/2</f>
        <v>2.5</v>
      </c>
      <c r="AW116" s="38"/>
      <c r="AX116" s="38"/>
      <c r="AY116" s="38"/>
      <c r="AZ116" s="38"/>
      <c r="BA116" s="38"/>
      <c r="BB116" s="38"/>
      <c r="BC116" s="38"/>
      <c r="BD116" s="92"/>
      <c r="BE116" s="1"/>
      <c r="BF116" s="1"/>
      <c r="BG116" s="1"/>
      <c r="BH116" s="1"/>
      <c r="BI116" s="1"/>
    </row>
    <row r="117" spans="1:61">
      <c r="A117" s="1"/>
      <c r="B117" s="1"/>
      <c r="C117" s="1"/>
      <c r="D117" s="1"/>
      <c r="E117" s="1"/>
      <c r="F117" s="124" t="s">
        <v>158</v>
      </c>
      <c r="G117" s="125">
        <f>DSB!$AV$203</f>
        <v>16.788295731316005</v>
      </c>
      <c r="H117" s="38"/>
      <c r="I117" s="38"/>
      <c r="J117" s="64"/>
      <c r="K117" s="38"/>
      <c r="L117" s="38"/>
      <c r="M117" s="38"/>
      <c r="N117" s="38"/>
      <c r="O117" s="20"/>
      <c r="P117" s="124"/>
      <c r="Q117" s="125"/>
      <c r="R117" s="1"/>
      <c r="S117" s="1"/>
      <c r="T117" s="1"/>
      <c r="U117" s="1"/>
      <c r="V117" s="1"/>
      <c r="W117" s="1"/>
      <c r="X117" s="1"/>
      <c r="Y117" s="1"/>
      <c r="Z117" s="124"/>
      <c r="AA117" s="125"/>
      <c r="AB117" s="1"/>
      <c r="AC117" s="1"/>
      <c r="AD117" s="1"/>
      <c r="AE117" s="1"/>
      <c r="AF117" s="1"/>
      <c r="AG117" s="1"/>
      <c r="AH117" s="1"/>
      <c r="AI117" s="1"/>
      <c r="AJ117" s="35"/>
      <c r="AK117" s="124"/>
      <c r="AL117" s="125"/>
      <c r="AM117" s="38"/>
      <c r="AN117" s="38"/>
      <c r="AO117" s="64"/>
      <c r="AP117" s="38"/>
      <c r="AQ117" s="38"/>
      <c r="AR117" s="38"/>
      <c r="AS117" s="38"/>
      <c r="AT117" s="20"/>
      <c r="AU117" s="98"/>
      <c r="AV117" s="99"/>
      <c r="AW117" s="38"/>
      <c r="AX117" s="38"/>
      <c r="AY117" s="64"/>
      <c r="AZ117" s="38"/>
      <c r="BA117" s="38"/>
      <c r="BB117" s="38"/>
      <c r="BC117" s="38"/>
      <c r="BD117" s="92"/>
      <c r="BE117" s="1"/>
      <c r="BF117" s="1"/>
      <c r="BG117" s="1"/>
      <c r="BH117" s="1"/>
      <c r="BI117" s="1"/>
    </row>
    <row r="118" spans="1:61">
      <c r="A118" s="1"/>
      <c r="B118" s="1"/>
      <c r="C118" s="1"/>
      <c r="D118" s="1"/>
      <c r="E118" s="1"/>
      <c r="F118" s="124" t="s">
        <v>289</v>
      </c>
      <c r="G118" s="42">
        <f>SIN(RADIANS(AXB!G117))</f>
        <v>0.2888362315789334</v>
      </c>
      <c r="H118" s="38"/>
      <c r="I118" s="38"/>
      <c r="J118" s="38"/>
      <c r="K118" s="38"/>
      <c r="L118" s="38"/>
      <c r="M118" s="38"/>
      <c r="N118" s="38"/>
      <c r="O118" s="20"/>
      <c r="P118" s="124"/>
      <c r="Q118" s="125"/>
      <c r="R118" s="1"/>
      <c r="S118" s="1"/>
      <c r="T118" s="1"/>
      <c r="U118" s="1"/>
      <c r="V118" s="1"/>
      <c r="W118" s="1"/>
      <c r="X118" s="1"/>
      <c r="Y118" s="1"/>
      <c r="Z118" s="124"/>
      <c r="AA118" s="125"/>
      <c r="AB118" s="1"/>
      <c r="AC118" s="1"/>
      <c r="AD118" s="1"/>
      <c r="AE118" s="1"/>
      <c r="AF118" s="1"/>
      <c r="AG118" s="1"/>
      <c r="AH118" s="1"/>
      <c r="AI118" s="1"/>
      <c r="AJ118" s="35"/>
      <c r="AK118" s="124"/>
      <c r="AL118" s="125"/>
      <c r="AM118" s="38"/>
      <c r="AN118" s="38"/>
      <c r="AO118" s="38"/>
      <c r="AP118" s="38"/>
      <c r="AQ118" s="38"/>
      <c r="AR118" s="38"/>
      <c r="AS118" s="38"/>
      <c r="AT118" s="20"/>
      <c r="AU118" s="98"/>
      <c r="AV118" s="99"/>
      <c r="AW118" s="38"/>
      <c r="AX118" s="38"/>
      <c r="AY118" s="38"/>
      <c r="AZ118" s="38"/>
      <c r="BA118" s="38"/>
      <c r="BB118" s="38"/>
      <c r="BC118" s="38"/>
      <c r="BD118" s="92"/>
      <c r="BE118" s="1"/>
      <c r="BF118" s="1"/>
      <c r="BG118" s="1"/>
      <c r="BH118" s="1"/>
      <c r="BI118" s="1"/>
    </row>
    <row r="119" spans="1:61">
      <c r="A119" s="1"/>
      <c r="B119" s="1"/>
      <c r="C119" s="1"/>
      <c r="D119" s="1"/>
      <c r="E119" s="1"/>
      <c r="F119" s="124" t="s">
        <v>290</v>
      </c>
      <c r="G119" s="42">
        <f>COS(RADIANS(AXB!G117))</f>
        <v>0.95737852040208249</v>
      </c>
      <c r="H119" s="38"/>
      <c r="I119" s="38"/>
      <c r="J119" s="38"/>
      <c r="K119" s="38"/>
      <c r="L119" s="38"/>
      <c r="M119" s="38"/>
      <c r="N119" s="38"/>
      <c r="O119" s="20"/>
      <c r="P119" s="123"/>
      <c r="Q119" s="125"/>
      <c r="R119" s="1"/>
      <c r="S119" s="63"/>
      <c r="T119" s="63"/>
      <c r="U119" s="63"/>
      <c r="V119" s="1"/>
      <c r="W119" s="1"/>
      <c r="X119" s="1"/>
      <c r="Y119" s="1"/>
      <c r="Z119" s="123"/>
      <c r="AA119" s="125"/>
      <c r="AB119" s="1"/>
      <c r="AC119" s="63"/>
      <c r="AD119" s="63"/>
      <c r="AE119" s="63"/>
      <c r="AF119" s="1"/>
      <c r="AG119" s="1"/>
      <c r="AH119" s="1"/>
      <c r="AI119" s="1"/>
      <c r="AJ119" s="35"/>
      <c r="AK119" s="123"/>
      <c r="AL119" s="125"/>
      <c r="AM119" s="38"/>
      <c r="AN119" s="38"/>
      <c r="AO119" s="38"/>
      <c r="AP119" s="38"/>
      <c r="AQ119" s="38"/>
      <c r="AR119" s="38"/>
      <c r="AS119" s="38"/>
      <c r="AT119" s="20"/>
      <c r="AU119" s="97"/>
      <c r="AV119" s="99"/>
      <c r="AW119" s="38"/>
      <c r="AX119" s="38"/>
      <c r="AY119" s="38"/>
      <c r="AZ119" s="38"/>
      <c r="BA119" s="38"/>
      <c r="BB119" s="38"/>
      <c r="BC119" s="38"/>
      <c r="BD119" s="92"/>
      <c r="BE119" s="1"/>
      <c r="BF119" s="1"/>
      <c r="BG119" s="1"/>
      <c r="BH119" s="1"/>
      <c r="BI119" s="1"/>
    </row>
    <row r="120" spans="1:61">
      <c r="A120" s="1"/>
      <c r="B120" s="1"/>
      <c r="C120" s="1"/>
      <c r="D120" s="1"/>
      <c r="E120" s="1"/>
      <c r="F120" s="126"/>
      <c r="G120" s="127"/>
      <c r="H120" s="66"/>
      <c r="I120" s="66"/>
      <c r="J120" s="66"/>
      <c r="K120" s="66"/>
      <c r="L120" s="66"/>
      <c r="M120" s="66"/>
      <c r="N120" s="66"/>
      <c r="O120" s="66"/>
      <c r="P120" s="126"/>
      <c r="Q120" s="127"/>
      <c r="R120" s="34"/>
      <c r="S120" s="34"/>
      <c r="T120" s="34"/>
      <c r="U120" s="34"/>
      <c r="V120" s="34"/>
      <c r="W120" s="34"/>
      <c r="X120" s="34"/>
      <c r="Y120" s="34"/>
      <c r="Z120" s="126"/>
      <c r="AA120" s="127"/>
      <c r="AB120" s="34"/>
      <c r="AC120" s="34"/>
      <c r="AD120" s="34"/>
      <c r="AE120" s="34"/>
      <c r="AF120" s="34"/>
      <c r="AG120" s="34"/>
      <c r="AH120" s="34"/>
      <c r="AI120" s="34"/>
      <c r="AJ120" s="36"/>
      <c r="AK120" s="126"/>
      <c r="AL120" s="125"/>
      <c r="AM120" s="66"/>
      <c r="AN120" s="66"/>
      <c r="AO120" s="66"/>
      <c r="AP120" s="66"/>
      <c r="AQ120" s="66"/>
      <c r="AR120" s="66"/>
      <c r="AS120" s="66"/>
      <c r="AT120" s="66"/>
      <c r="AU120" s="100"/>
      <c r="AV120" s="99"/>
      <c r="AW120" s="66"/>
      <c r="AX120" s="66"/>
      <c r="AY120" s="66"/>
      <c r="AZ120" s="66"/>
      <c r="BA120" s="66"/>
      <c r="BB120" s="66"/>
      <c r="BC120" s="66"/>
      <c r="BD120" s="93"/>
      <c r="BE120" s="1"/>
      <c r="BF120" s="1"/>
      <c r="BG120" s="1"/>
      <c r="BH120" s="1"/>
      <c r="BI120" s="1"/>
    </row>
    <row r="121" spans="1:6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86"/>
      <c r="AA121" s="8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43"/>
      <c r="AM121" s="1"/>
      <c r="AN121" s="1"/>
      <c r="AO121" s="1"/>
      <c r="AP121" s="1"/>
      <c r="AQ121" s="1"/>
      <c r="AR121" s="1"/>
      <c r="AS121" s="1"/>
      <c r="AT121" s="1"/>
      <c r="AU121" s="1"/>
      <c r="AV121" s="43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ht="15.6">
      <c r="F123" s="167" t="s">
        <v>355</v>
      </c>
      <c r="G123" s="166"/>
      <c r="H123" s="166"/>
      <c r="I123" s="858" t="s">
        <v>192</v>
      </c>
      <c r="J123" s="858"/>
      <c r="K123" s="858"/>
      <c r="L123" s="166"/>
      <c r="M123" s="166"/>
      <c r="N123" s="166"/>
      <c r="O123" s="166"/>
      <c r="P123" s="167" t="s">
        <v>356</v>
      </c>
      <c r="Q123" s="166"/>
      <c r="R123" s="166"/>
      <c r="S123" s="858" t="s">
        <v>192</v>
      </c>
      <c r="T123" s="858"/>
      <c r="U123" s="858"/>
      <c r="V123" s="166"/>
      <c r="W123" s="166"/>
      <c r="X123" s="166"/>
      <c r="Y123" s="166"/>
      <c r="AL123" s="1"/>
    </row>
    <row r="124" spans="1:61">
      <c r="F124" s="65"/>
      <c r="G124" s="20"/>
      <c r="H124" s="20"/>
      <c r="I124" s="20"/>
      <c r="J124" s="20"/>
      <c r="K124" s="20"/>
      <c r="L124" s="20"/>
      <c r="M124" s="20"/>
      <c r="N124" s="20"/>
      <c r="O124" s="20"/>
      <c r="P124" s="65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61">
      <c r="F125" s="119" t="s">
        <v>161</v>
      </c>
      <c r="G125" s="120">
        <f>(G138-CMB!$O$199)/$G$118</f>
        <v>17.379527988685314</v>
      </c>
      <c r="H125" s="20"/>
      <c r="I125" s="20"/>
      <c r="J125" s="20"/>
      <c r="K125" s="20"/>
      <c r="L125" s="20"/>
      <c r="M125" s="20"/>
      <c r="N125" s="20"/>
      <c r="O125" s="20"/>
      <c r="P125" s="119" t="s">
        <v>161</v>
      </c>
      <c r="Q125" s="120">
        <f>(Q138-CMB!$O$217)/$G$118</f>
        <v>1.7310847647704459</v>
      </c>
      <c r="R125" s="20"/>
      <c r="S125" s="20"/>
      <c r="T125" s="20"/>
      <c r="U125" s="20"/>
      <c r="V125" s="20"/>
      <c r="W125" s="20"/>
      <c r="X125" s="20"/>
      <c r="Y125" s="20"/>
    </row>
    <row r="126" spans="1:61">
      <c r="F126" s="121" t="s">
        <v>159</v>
      </c>
      <c r="G126" s="122">
        <f>G125*$G$119-CMB!$P$199</f>
        <v>16.638786791094127</v>
      </c>
      <c r="H126" s="20"/>
      <c r="I126" s="20"/>
      <c r="J126" s="20"/>
      <c r="K126" s="20"/>
      <c r="L126" s="20"/>
      <c r="M126" s="20"/>
      <c r="N126" s="20"/>
      <c r="O126" s="20"/>
      <c r="P126" s="121" t="s">
        <v>159</v>
      </c>
      <c r="Q126" s="122">
        <f>Q125*$G$119-CMB!$P$217</f>
        <v>1.6573033707865166</v>
      </c>
      <c r="R126" s="20"/>
      <c r="S126" s="20"/>
      <c r="T126" s="20"/>
      <c r="U126" s="20"/>
      <c r="V126" s="20"/>
      <c r="W126" s="20"/>
      <c r="X126" s="20"/>
      <c r="Y126" s="20"/>
    </row>
    <row r="127" spans="1:61">
      <c r="F127" s="119" t="s">
        <v>287</v>
      </c>
      <c r="G127" s="120">
        <f>-((-2*$G$118*CMB!$P$202+CMB!$P$202*$G$118-CMB!$O$202*$G$119)/(2*$G$118*$G$119))</f>
        <v>5.7931759962284382</v>
      </c>
      <c r="H127" s="38"/>
      <c r="I127" s="38"/>
      <c r="J127" s="38"/>
      <c r="K127" s="38"/>
      <c r="L127" s="38"/>
      <c r="M127" s="38"/>
      <c r="N127" s="38"/>
      <c r="O127" s="20"/>
      <c r="P127" s="119" t="s">
        <v>287</v>
      </c>
      <c r="Q127" s="120">
        <f>-((-2*$G$118*CMB!$P$220+CMB!$P$220*$G$118-CMB!$O$220*$G$119)/(2*$G$118*$G$119))</f>
        <v>0</v>
      </c>
      <c r="R127" s="38"/>
      <c r="S127" s="38"/>
      <c r="T127" s="38"/>
      <c r="U127" s="38"/>
      <c r="V127" s="38"/>
      <c r="W127" s="38"/>
      <c r="X127" s="38"/>
      <c r="Y127" s="20"/>
    </row>
    <row r="128" spans="1:61">
      <c r="F128" s="119" t="s">
        <v>160</v>
      </c>
      <c r="G128" s="120">
        <f>G125-(CMB!$O$202/(2*$G$118))+(CMB!$P$202/(2*$G$119))</f>
        <v>11.586351992456876</v>
      </c>
      <c r="H128" s="38"/>
      <c r="I128" s="38"/>
      <c r="J128" s="38"/>
      <c r="K128" s="38"/>
      <c r="L128" s="38"/>
      <c r="M128" s="38"/>
      <c r="N128" s="38"/>
      <c r="O128" s="20"/>
      <c r="P128" s="119" t="s">
        <v>160</v>
      </c>
      <c r="Q128" s="120">
        <f>Q125-(CMB!$O$220/(2*$G$118))+(CMB!$P$220/(2*$G$119))</f>
        <v>1.7310847647704459</v>
      </c>
      <c r="R128" s="38"/>
      <c r="S128" s="38"/>
      <c r="T128" s="38"/>
      <c r="U128" s="38"/>
      <c r="V128" s="38"/>
      <c r="W128" s="38"/>
      <c r="X128" s="38"/>
      <c r="Y128" s="20"/>
    </row>
    <row r="129" spans="6:25">
      <c r="F129" s="121" t="s">
        <v>288</v>
      </c>
      <c r="G129" s="122">
        <f>-CMB!$O$204+(2*G125-CMB!$O$202/$G$118+CMB!$P$202/$G$119)*$G$118</f>
        <v>3.3465582472483106</v>
      </c>
      <c r="H129" s="38"/>
      <c r="I129" s="38"/>
      <c r="J129" s="38"/>
      <c r="K129" s="38"/>
      <c r="L129" s="38"/>
      <c r="M129" s="38"/>
      <c r="N129" s="38"/>
      <c r="O129" s="20"/>
      <c r="P129" s="121" t="s">
        <v>288</v>
      </c>
      <c r="Q129" s="122">
        <f>-CMB!$O$222+(2*Q125-CMB!$O$220/$G$118+CMB!$P$220/$G$119)*$G$118</f>
        <v>0.99999999999999989</v>
      </c>
      <c r="R129" s="38"/>
      <c r="S129" s="38"/>
      <c r="T129" s="38"/>
      <c r="U129" s="38"/>
      <c r="V129" s="38"/>
      <c r="W129" s="38"/>
      <c r="X129" s="38"/>
      <c r="Y129" s="20"/>
    </row>
    <row r="130" spans="6:25">
      <c r="F130" s="119"/>
      <c r="G130" s="120"/>
      <c r="H130" s="38"/>
      <c r="I130" s="38"/>
      <c r="J130" s="38"/>
      <c r="K130" s="38"/>
      <c r="L130" s="38"/>
      <c r="M130" s="38"/>
      <c r="N130" s="38"/>
      <c r="O130" s="20"/>
      <c r="P130" s="119"/>
      <c r="Q130" s="120"/>
      <c r="R130" s="38"/>
      <c r="S130" s="38"/>
      <c r="T130" s="38"/>
      <c r="U130" s="38"/>
      <c r="V130" s="38"/>
      <c r="W130" s="38"/>
      <c r="X130" s="38"/>
      <c r="Y130" s="20"/>
    </row>
    <row r="131" spans="6:25">
      <c r="F131" s="121"/>
      <c r="G131" s="122"/>
      <c r="H131" s="38"/>
      <c r="I131" s="38"/>
      <c r="J131" s="38"/>
      <c r="K131" s="39"/>
      <c r="L131" s="38"/>
      <c r="M131" s="38"/>
      <c r="N131" s="38"/>
      <c r="O131" s="20"/>
      <c r="P131" s="121"/>
      <c r="Q131" s="122"/>
      <c r="R131" s="38"/>
      <c r="S131" s="38"/>
      <c r="T131" s="38"/>
      <c r="U131" s="39"/>
      <c r="V131" s="38"/>
      <c r="W131" s="38"/>
      <c r="X131" s="38"/>
      <c r="Y131" s="20"/>
    </row>
    <row r="132" spans="6:25">
      <c r="F132" s="121"/>
      <c r="G132" s="122"/>
      <c r="H132" s="38"/>
      <c r="I132" s="38"/>
      <c r="J132" s="38"/>
      <c r="K132" s="38"/>
      <c r="L132" s="38"/>
      <c r="M132" s="38"/>
      <c r="N132" s="38"/>
      <c r="O132" s="20"/>
      <c r="P132" s="121"/>
      <c r="Q132" s="122"/>
      <c r="R132" s="38"/>
      <c r="S132" s="38"/>
      <c r="T132" s="38"/>
      <c r="U132" s="38"/>
      <c r="V132" s="38"/>
      <c r="W132" s="38"/>
      <c r="X132" s="38"/>
      <c r="Y132" s="20"/>
    </row>
    <row r="133" spans="6:25">
      <c r="F133" s="119"/>
      <c r="G133" s="120"/>
      <c r="H133" s="38"/>
      <c r="I133" s="39"/>
      <c r="J133" s="38"/>
      <c r="K133" s="38"/>
      <c r="L133" s="38"/>
      <c r="M133" s="38"/>
      <c r="N133" s="38"/>
      <c r="O133" s="20"/>
      <c r="P133" s="119"/>
      <c r="Q133" s="120"/>
      <c r="R133" s="38"/>
      <c r="S133" s="39"/>
      <c r="T133" s="38"/>
      <c r="U133" s="38"/>
      <c r="V133" s="38"/>
      <c r="W133" s="38"/>
      <c r="X133" s="38"/>
      <c r="Y133" s="20"/>
    </row>
    <row r="134" spans="6:25">
      <c r="F134" s="119"/>
      <c r="G134" s="120"/>
      <c r="H134" s="38"/>
      <c r="I134" s="38"/>
      <c r="J134" s="38"/>
      <c r="K134" s="38"/>
      <c r="L134" s="38"/>
      <c r="M134" s="38"/>
      <c r="N134" s="38"/>
      <c r="O134" s="20"/>
      <c r="P134" s="119"/>
      <c r="Q134" s="120"/>
      <c r="R134" s="38"/>
      <c r="S134" s="38"/>
      <c r="T134" s="38"/>
      <c r="U134" s="38"/>
      <c r="V134" s="38"/>
      <c r="W134" s="38"/>
      <c r="X134" s="38"/>
      <c r="Y134" s="20"/>
    </row>
    <row r="135" spans="6:25">
      <c r="F135" s="121"/>
      <c r="G135" s="122"/>
      <c r="H135" s="38"/>
      <c r="I135" s="38"/>
      <c r="J135" s="38"/>
      <c r="K135" s="38"/>
      <c r="L135" s="38"/>
      <c r="M135" s="38"/>
      <c r="N135" s="38"/>
      <c r="O135" s="20"/>
      <c r="P135" s="121"/>
      <c r="Q135" s="122"/>
      <c r="R135" s="38"/>
      <c r="S135" s="38"/>
      <c r="T135" s="38"/>
      <c r="U135" s="38"/>
      <c r="V135" s="38"/>
      <c r="W135" s="38"/>
      <c r="X135" s="38"/>
      <c r="Y135" s="20"/>
    </row>
    <row r="136" spans="6:25">
      <c r="F136" s="94"/>
      <c r="G136" s="95"/>
      <c r="H136" s="38"/>
      <c r="I136" s="38"/>
      <c r="J136" s="38"/>
      <c r="K136" s="39"/>
      <c r="L136" s="38"/>
      <c r="M136" s="38"/>
      <c r="N136" s="38"/>
      <c r="O136" s="20"/>
      <c r="P136" s="94"/>
      <c r="Q136" s="95"/>
      <c r="R136" s="38"/>
      <c r="S136" s="38"/>
      <c r="T136" s="38"/>
      <c r="U136" s="39"/>
      <c r="V136" s="38"/>
      <c r="W136" s="38"/>
      <c r="X136" s="38"/>
      <c r="Y136" s="20"/>
    </row>
    <row r="137" spans="6:25">
      <c r="F137" s="94"/>
      <c r="G137" s="96"/>
      <c r="H137" s="38"/>
      <c r="I137" s="38"/>
      <c r="J137" s="38"/>
      <c r="K137" s="20"/>
      <c r="L137" s="38"/>
      <c r="M137" s="38"/>
      <c r="N137" s="38"/>
      <c r="O137" s="20"/>
      <c r="P137" s="94"/>
      <c r="Q137" s="96"/>
      <c r="R137" s="38"/>
      <c r="S137" s="38"/>
      <c r="T137" s="38"/>
      <c r="U137" s="20"/>
      <c r="V137" s="38"/>
      <c r="W137" s="38"/>
      <c r="X137" s="38"/>
      <c r="Y137" s="20"/>
    </row>
    <row r="138" spans="6:25" ht="15.6">
      <c r="F138" s="123" t="s">
        <v>225</v>
      </c>
      <c r="G138" s="42">
        <f>SUM(CMB!$O$199:$O$204)/2</f>
        <v>8.1549610037839546</v>
      </c>
      <c r="H138" s="38"/>
      <c r="I138" s="38"/>
      <c r="J138" s="38"/>
      <c r="K138" s="38"/>
      <c r="L138" s="38"/>
      <c r="M138" s="38"/>
      <c r="N138" s="38"/>
      <c r="O138" s="20"/>
      <c r="P138" s="123" t="s">
        <v>225</v>
      </c>
      <c r="Q138" s="42">
        <f>SUM(CMB!$O$217:$O$222)/2</f>
        <v>0.5</v>
      </c>
      <c r="R138" s="38"/>
      <c r="S138" s="38"/>
      <c r="T138" s="38"/>
      <c r="U138" s="38"/>
      <c r="V138" s="38"/>
      <c r="W138" s="38"/>
      <c r="X138" s="38"/>
      <c r="Y138" s="20"/>
    </row>
    <row r="139" spans="6:25">
      <c r="F139" s="124" t="s">
        <v>158</v>
      </c>
      <c r="G139" s="125">
        <f>DSB!$AV$203</f>
        <v>16.788295731316005</v>
      </c>
      <c r="H139" s="38"/>
      <c r="I139" s="38"/>
      <c r="J139" s="64"/>
      <c r="K139" s="38"/>
      <c r="L139" s="38"/>
      <c r="M139" s="38"/>
      <c r="N139" s="38"/>
      <c r="O139" s="20"/>
      <c r="P139" s="124" t="s">
        <v>158</v>
      </c>
      <c r="Q139" s="125">
        <f>DSB!$AV$203</f>
        <v>16.788295731316005</v>
      </c>
      <c r="R139" s="38"/>
      <c r="S139" s="38"/>
      <c r="T139" s="64"/>
      <c r="U139" s="38"/>
      <c r="V139" s="38"/>
      <c r="W139" s="38"/>
      <c r="X139" s="38"/>
      <c r="Y139" s="20"/>
    </row>
    <row r="140" spans="6:25">
      <c r="F140" s="124" t="s">
        <v>289</v>
      </c>
      <c r="G140" s="159">
        <f>SIN(RADIANS(AXB!G139))</f>
        <v>0.2888362315789334</v>
      </c>
      <c r="H140" s="38"/>
      <c r="I140" s="38"/>
      <c r="J140" s="38"/>
      <c r="K140" s="38"/>
      <c r="L140" s="38"/>
      <c r="M140" s="38"/>
      <c r="N140" s="38"/>
      <c r="O140" s="20"/>
      <c r="P140" s="124" t="s">
        <v>289</v>
      </c>
      <c r="Q140" s="159">
        <f>SIN(RADIANS(AXB!Q139))</f>
        <v>0.2888362315789334</v>
      </c>
      <c r="R140" s="38"/>
      <c r="S140" s="38"/>
      <c r="T140" s="38"/>
      <c r="U140" s="38"/>
      <c r="V140" s="38"/>
      <c r="W140" s="38"/>
      <c r="X140" s="38"/>
      <c r="Y140" s="20"/>
    </row>
    <row r="141" spans="6:25">
      <c r="F141" s="124" t="s">
        <v>290</v>
      </c>
      <c r="G141" s="159">
        <f>COS(RADIANS(AXB!G139))</f>
        <v>0.95737852040208249</v>
      </c>
      <c r="H141" s="38"/>
      <c r="I141" s="38"/>
      <c r="J141" s="38"/>
      <c r="K141" s="38"/>
      <c r="L141" s="38"/>
      <c r="M141" s="38"/>
      <c r="N141" s="38"/>
      <c r="O141" s="20"/>
      <c r="P141" s="124" t="s">
        <v>290</v>
      </c>
      <c r="Q141" s="159">
        <f>COS(RADIANS(AXB!Q139))</f>
        <v>0.95737852040208249</v>
      </c>
      <c r="R141" s="38"/>
      <c r="S141" s="38"/>
      <c r="T141" s="38"/>
      <c r="U141" s="38"/>
      <c r="V141" s="38"/>
      <c r="W141" s="38"/>
      <c r="X141" s="38"/>
      <c r="Y141" s="20"/>
    </row>
    <row r="142" spans="6:25">
      <c r="F142" s="126"/>
      <c r="G142" s="127"/>
      <c r="H142" s="66"/>
      <c r="I142" s="66"/>
      <c r="J142" s="66"/>
      <c r="K142" s="66"/>
      <c r="L142" s="66"/>
      <c r="M142" s="66"/>
      <c r="N142" s="66"/>
      <c r="O142" s="66"/>
      <c r="P142" s="126"/>
      <c r="Q142" s="127"/>
      <c r="R142" s="66"/>
      <c r="S142" s="66"/>
      <c r="T142" s="66"/>
      <c r="U142" s="66"/>
      <c r="V142" s="66"/>
      <c r="W142" s="66"/>
      <c r="X142" s="66"/>
      <c r="Y142" s="66"/>
    </row>
    <row r="143" spans="6:25" ht="15.6">
      <c r="F143" s="167" t="s">
        <v>357</v>
      </c>
      <c r="G143" s="166"/>
      <c r="H143" s="166"/>
      <c r="I143" s="858" t="s">
        <v>192</v>
      </c>
      <c r="J143" s="858"/>
      <c r="K143" s="858"/>
      <c r="L143" s="166"/>
      <c r="M143" s="166"/>
      <c r="N143" s="166"/>
      <c r="O143" s="166"/>
    </row>
    <row r="144" spans="6:25">
      <c r="F144" s="65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6:15">
      <c r="F145" s="119" t="s">
        <v>161</v>
      </c>
      <c r="G145" s="120">
        <f>(G158-CMB!$O$208)/$G$118</f>
        <v>22.445209723020046</v>
      </c>
      <c r="H145" s="20"/>
      <c r="I145" s="20"/>
      <c r="J145" s="20"/>
      <c r="K145" s="20"/>
      <c r="L145" s="20"/>
      <c r="M145" s="20"/>
      <c r="N145" s="20"/>
      <c r="O145" s="20"/>
    </row>
    <row r="146" spans="6:15">
      <c r="F146" s="121" t="s">
        <v>159</v>
      </c>
      <c r="G146" s="122">
        <f>G145*$G$119-CMB!$P$208</f>
        <v>21.488561674739366</v>
      </c>
      <c r="H146" s="20"/>
      <c r="I146" s="20"/>
      <c r="J146" s="20"/>
      <c r="K146" s="20"/>
      <c r="L146" s="20"/>
      <c r="M146" s="20"/>
      <c r="N146" s="20"/>
      <c r="O146" s="20"/>
    </row>
    <row r="147" spans="6:15">
      <c r="F147" s="119" t="s">
        <v>287</v>
      </c>
      <c r="G147" s="120">
        <f>-((-2*$G$118*CMB!$P$211+CMB!$P$211*$G$118-CMB!$O$211*$G$119)/(2*$G$118*$G$119))</f>
        <v>7.4817365743400144</v>
      </c>
      <c r="H147" s="38"/>
      <c r="I147" s="38"/>
      <c r="J147" s="38"/>
      <c r="K147" s="38"/>
      <c r="L147" s="38"/>
      <c r="M147" s="38"/>
      <c r="N147" s="38"/>
      <c r="O147" s="20"/>
    </row>
    <row r="148" spans="6:15">
      <c r="F148" s="119" t="s">
        <v>160</v>
      </c>
      <c r="G148" s="120">
        <f>G145-(CMB!$O$211/(2*$G$118))+(CMB!$P$211/(2*$G$119))</f>
        <v>14.963473148680031</v>
      </c>
      <c r="H148" s="38"/>
      <c r="I148" s="38"/>
      <c r="J148" s="38"/>
      <c r="K148" s="38"/>
      <c r="L148" s="38"/>
      <c r="M148" s="38"/>
      <c r="N148" s="38"/>
      <c r="O148" s="20"/>
    </row>
    <row r="149" spans="6:15">
      <c r="F149" s="121" t="s">
        <v>288</v>
      </c>
      <c r="G149" s="122">
        <f>-CMB!$O$213+(2*G145-CMB!$O$211/$G$118+CMB!$P$211/$G$119)*$G$118</f>
        <v>4.3219931955972983</v>
      </c>
      <c r="H149" s="38"/>
      <c r="I149" s="38"/>
      <c r="J149" s="38"/>
      <c r="K149" s="38"/>
      <c r="L149" s="38"/>
      <c r="M149" s="38"/>
      <c r="N149" s="38"/>
      <c r="O149" s="20"/>
    </row>
    <row r="150" spans="6:15">
      <c r="F150" s="119"/>
      <c r="G150" s="120"/>
      <c r="H150" s="38"/>
      <c r="I150" s="38"/>
      <c r="J150" s="38"/>
      <c r="K150" s="38"/>
      <c r="L150" s="38"/>
      <c r="M150" s="38"/>
      <c r="N150" s="38"/>
      <c r="O150" s="20"/>
    </row>
    <row r="151" spans="6:15">
      <c r="F151" s="121"/>
      <c r="G151" s="122"/>
      <c r="H151" s="38"/>
      <c r="I151" s="38"/>
      <c r="J151" s="38"/>
      <c r="K151" s="39"/>
      <c r="L151" s="38"/>
      <c r="M151" s="38"/>
      <c r="N151" s="38"/>
      <c r="O151" s="20"/>
    </row>
    <row r="152" spans="6:15">
      <c r="F152" s="121"/>
      <c r="G152" s="122"/>
      <c r="H152" s="38"/>
      <c r="I152" s="38"/>
      <c r="J152" s="38"/>
      <c r="K152" s="38"/>
      <c r="L152" s="38"/>
      <c r="M152" s="38"/>
      <c r="N152" s="38"/>
      <c r="O152" s="20"/>
    </row>
    <row r="153" spans="6:15">
      <c r="F153" s="119"/>
      <c r="G153" s="120"/>
      <c r="H153" s="38"/>
      <c r="I153" s="39"/>
      <c r="J153" s="38"/>
      <c r="K153" s="38"/>
      <c r="L153" s="38"/>
      <c r="M153" s="38"/>
      <c r="N153" s="38"/>
      <c r="O153" s="20"/>
    </row>
    <row r="154" spans="6:15">
      <c r="F154" s="119"/>
      <c r="G154" s="120"/>
      <c r="H154" s="38"/>
      <c r="I154" s="38"/>
      <c r="J154" s="38"/>
      <c r="K154" s="38"/>
      <c r="L154" s="38"/>
      <c r="M154" s="38"/>
      <c r="N154" s="38"/>
      <c r="O154" s="20"/>
    </row>
    <row r="155" spans="6:15">
      <c r="F155" s="121"/>
      <c r="G155" s="122"/>
      <c r="H155" s="38"/>
      <c r="I155" s="38"/>
      <c r="J155" s="38"/>
      <c r="K155" s="38"/>
      <c r="L155" s="38"/>
      <c r="M155" s="38"/>
      <c r="N155" s="38"/>
      <c r="O155" s="20"/>
    </row>
    <row r="156" spans="6:15">
      <c r="F156" s="94"/>
      <c r="G156" s="95"/>
      <c r="H156" s="38"/>
      <c r="I156" s="38"/>
      <c r="J156" s="38"/>
      <c r="K156" s="39"/>
      <c r="L156" s="38"/>
      <c r="M156" s="38"/>
      <c r="N156" s="38"/>
      <c r="O156" s="20"/>
    </row>
    <row r="157" spans="6:15">
      <c r="F157" s="94"/>
      <c r="G157" s="96"/>
      <c r="H157" s="38"/>
      <c r="I157" s="38"/>
      <c r="J157" s="38"/>
      <c r="K157" s="20"/>
      <c r="L157" s="38"/>
      <c r="M157" s="38"/>
      <c r="N157" s="38"/>
      <c r="O157" s="20"/>
    </row>
    <row r="158" spans="6:15" ht="15.6">
      <c r="F158" s="123" t="s">
        <v>225</v>
      </c>
      <c r="G158" s="42">
        <f>SUM(CMB!$O$208:$O$213)/2</f>
        <v>10.492937606054328</v>
      </c>
      <c r="H158" s="38"/>
      <c r="I158" s="38"/>
      <c r="J158" s="38"/>
      <c r="K158" s="38"/>
      <c r="L158" s="38"/>
      <c r="M158" s="38"/>
      <c r="N158" s="38"/>
      <c r="O158" s="20"/>
    </row>
    <row r="159" spans="6:15">
      <c r="F159" s="124" t="s">
        <v>158</v>
      </c>
      <c r="G159" s="125">
        <f>DSB!$AV$203</f>
        <v>16.788295731316005</v>
      </c>
      <c r="H159" s="38"/>
      <c r="I159" s="38"/>
      <c r="J159" s="64"/>
      <c r="K159" s="38"/>
      <c r="L159" s="38"/>
      <c r="M159" s="38"/>
      <c r="N159" s="38"/>
      <c r="O159" s="20"/>
    </row>
    <row r="160" spans="6:15">
      <c r="F160" s="124" t="s">
        <v>289</v>
      </c>
      <c r="G160" s="159">
        <f>SIN(RADIANS(AXB!G159))</f>
        <v>0.2888362315789334</v>
      </c>
      <c r="H160" s="38"/>
      <c r="I160" s="38"/>
      <c r="J160" s="38"/>
      <c r="K160" s="38"/>
      <c r="L160" s="38"/>
      <c r="M160" s="38"/>
      <c r="N160" s="38"/>
      <c r="O160" s="20"/>
    </row>
    <row r="161" spans="6:15">
      <c r="F161" s="124" t="s">
        <v>290</v>
      </c>
      <c r="G161" s="159">
        <f>COS(RADIANS(AXB!G159))</f>
        <v>0.95737852040208249</v>
      </c>
      <c r="H161" s="38"/>
      <c r="I161" s="38"/>
      <c r="J161" s="38"/>
      <c r="K161" s="38"/>
      <c r="L161" s="38"/>
      <c r="M161" s="38"/>
      <c r="N161" s="38"/>
      <c r="O161" s="20"/>
    </row>
    <row r="162" spans="6:15">
      <c r="F162" s="126"/>
      <c r="G162" s="127"/>
      <c r="H162" s="66"/>
      <c r="I162" s="66"/>
      <c r="J162" s="66"/>
      <c r="K162" s="66"/>
      <c r="L162" s="66"/>
      <c r="M162" s="66"/>
      <c r="N162" s="66"/>
      <c r="O162" s="66"/>
    </row>
  </sheetData>
  <sheetProtection algorithmName="SHA-512" hashValue="1ftxfQpLbLU1s6JC7sCyuyQr9+/Jes+BaGU3GO5OLvuMteCic3iR3hzT1tm+sWxP1hHVSPEIL6H1aCyGcVNpqg==" saltValue="4Qeld2U2IkTnQT7+rIFgGg==" spinCount="100000" sheet="1" objects="1" scenarios="1" selectLockedCells="1"/>
  <mergeCells count="20">
    <mergeCell ref="AX101:AZ101"/>
    <mergeCell ref="C69:D69"/>
    <mergeCell ref="AC69:AD69"/>
    <mergeCell ref="AM69:AN69"/>
    <mergeCell ref="C76:D76"/>
    <mergeCell ref="I101:K101"/>
    <mergeCell ref="S101:U101"/>
    <mergeCell ref="AC101:AE101"/>
    <mergeCell ref="AN101:AP101"/>
    <mergeCell ref="I143:K143"/>
    <mergeCell ref="I123:K123"/>
    <mergeCell ref="S123:U123"/>
    <mergeCell ref="O13:Q13"/>
    <mergeCell ref="O14:P14"/>
    <mergeCell ref="O15:P15"/>
    <mergeCell ref="C3:C4"/>
    <mergeCell ref="D3:D4"/>
    <mergeCell ref="B17:B24"/>
    <mergeCell ref="B3:B16"/>
    <mergeCell ref="B25:B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8EDB-F6DE-4B45-B87B-484849758D57}">
  <sheetPr>
    <tabColor rgb="FF152C3B"/>
  </sheetPr>
  <dimension ref="A1:AT90"/>
  <sheetViews>
    <sheetView topLeftCell="C1" zoomScaleNormal="100" workbookViewId="0">
      <selection activeCell="C14" sqref="C14"/>
    </sheetView>
  </sheetViews>
  <sheetFormatPr defaultRowHeight="14.4"/>
  <cols>
    <col min="3" max="3" width="22.109375" bestFit="1" customWidth="1"/>
    <col min="5" max="5" width="9.33203125" bestFit="1" customWidth="1"/>
    <col min="6" max="6" width="14.33203125" bestFit="1" customWidth="1"/>
    <col min="9" max="9" width="14.44140625" bestFit="1" customWidth="1"/>
    <col min="12" max="12" width="16.6640625" bestFit="1" customWidth="1"/>
    <col min="14" max="14" width="9.33203125" bestFit="1" customWidth="1"/>
    <col min="15" max="15" width="13.6640625" bestFit="1" customWidth="1"/>
    <col min="18" max="18" width="14.33203125" bestFit="1" customWidth="1"/>
    <col min="21" max="23" width="9.33203125" bestFit="1" customWidth="1"/>
    <col min="24" max="24" width="14" bestFit="1" customWidth="1"/>
    <col min="25" max="25" width="9.33203125" bestFit="1" customWidth="1"/>
    <col min="26" max="26" width="16.6640625" bestFit="1" customWidth="1"/>
    <col min="28" max="28" width="9.33203125" bestFit="1" customWidth="1"/>
    <col min="29" max="29" width="13.88671875" bestFit="1" customWidth="1"/>
    <col min="31" max="31" width="9.5546875" bestFit="1" customWidth="1"/>
    <col min="32" max="32" width="18.44140625" customWidth="1"/>
    <col min="35" max="35" width="16.6640625" bestFit="1" customWidth="1"/>
    <col min="37" max="37" width="9.33203125" bestFit="1" customWidth="1"/>
    <col min="38" max="38" width="13" bestFit="1" customWidth="1"/>
    <col min="41" max="41" width="15.6640625" bestFit="1" customWidth="1"/>
    <col min="46" max="46" width="9.109375" customWidth="1"/>
  </cols>
  <sheetData>
    <row r="1" spans="1:4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5.8">
      <c r="A3" s="1"/>
      <c r="B3" s="869" t="s">
        <v>83</v>
      </c>
      <c r="C3" s="869"/>
      <c r="D3" s="869"/>
      <c r="E3" s="869"/>
      <c r="F3" s="869"/>
      <c r="G3" s="869"/>
      <c r="H3" s="869"/>
      <c r="I3" s="869"/>
      <c r="J3" s="869"/>
      <c r="K3" s="869"/>
      <c r="L3" s="869"/>
      <c r="M3" s="869"/>
      <c r="N3" s="869"/>
      <c r="O3" s="869"/>
      <c r="P3" s="869"/>
      <c r="Q3" s="869"/>
      <c r="R3" s="869"/>
      <c r="S3" s="1"/>
      <c r="T3" s="1"/>
      <c r="U3" s="869" t="s">
        <v>221</v>
      </c>
      <c r="V3" s="869"/>
      <c r="W3" s="631"/>
      <c r="X3" s="1"/>
      <c r="Y3" s="869" t="s">
        <v>126</v>
      </c>
      <c r="Z3" s="869"/>
      <c r="AA3" s="869"/>
      <c r="AB3" s="869"/>
      <c r="AC3" s="869"/>
      <c r="AD3" s="869"/>
      <c r="AE3" s="869"/>
      <c r="AF3" s="869"/>
      <c r="AG3" s="869"/>
      <c r="AH3" s="869"/>
      <c r="AI3" s="869"/>
      <c r="AJ3" s="869"/>
      <c r="AK3" s="869"/>
      <c r="AL3" s="869"/>
      <c r="AM3" s="869"/>
      <c r="AN3" s="869"/>
      <c r="AO3" s="869"/>
      <c r="AP3" s="1"/>
      <c r="AQ3" s="1"/>
      <c r="AR3" s="1"/>
      <c r="AS3" s="1"/>
      <c r="AT3" s="1"/>
    </row>
    <row r="4" spans="1:46" ht="18">
      <c r="A4" s="1"/>
      <c r="B4" s="870" t="s">
        <v>276</v>
      </c>
      <c r="C4" s="870"/>
      <c r="D4" s="870"/>
      <c r="E4" s="870"/>
      <c r="F4" s="870"/>
      <c r="G4" s="870"/>
      <c r="H4" s="870"/>
      <c r="I4" s="870"/>
      <c r="J4" s="1"/>
      <c r="K4" s="870" t="s">
        <v>275</v>
      </c>
      <c r="L4" s="870"/>
      <c r="M4" s="870"/>
      <c r="N4" s="870"/>
      <c r="O4" s="870"/>
      <c r="P4" s="870"/>
      <c r="Q4" s="870"/>
      <c r="R4" s="870"/>
      <c r="S4" s="1"/>
      <c r="T4" s="1"/>
      <c r="U4" s="871"/>
      <c r="V4" s="871"/>
      <c r="W4" s="21"/>
      <c r="X4" s="1"/>
      <c r="Y4" s="870" t="str">
        <f>VRF!AB47</f>
        <v>BANZO SUPERIOR - Barra 3</v>
      </c>
      <c r="Z4" s="870"/>
      <c r="AA4" s="870"/>
      <c r="AB4" s="870"/>
      <c r="AC4" s="870"/>
      <c r="AD4" s="870"/>
      <c r="AE4" s="870"/>
      <c r="AF4" s="870"/>
      <c r="AG4" s="1"/>
      <c r="AH4" s="870" t="str">
        <f>VRF!AE47</f>
        <v>DIAGONAL - Barra 4</v>
      </c>
      <c r="AI4" s="870"/>
      <c r="AJ4" s="870"/>
      <c r="AK4" s="870"/>
      <c r="AL4" s="870"/>
      <c r="AM4" s="870"/>
      <c r="AN4" s="870"/>
      <c r="AO4" s="870"/>
      <c r="AP4" s="1"/>
      <c r="AQ4" s="1"/>
      <c r="AR4" s="1"/>
      <c r="AS4" s="1"/>
      <c r="AT4" s="1"/>
    </row>
    <row r="5" spans="1:46">
      <c r="A5" s="1"/>
      <c r="B5" s="873" t="s">
        <v>106</v>
      </c>
      <c r="C5" s="873"/>
      <c r="D5" s="1"/>
      <c r="E5" s="874" t="s">
        <v>106</v>
      </c>
      <c r="F5" s="873"/>
      <c r="G5" s="1"/>
      <c r="H5" s="875" t="s">
        <v>102</v>
      </c>
      <c r="I5" s="875"/>
      <c r="J5" s="1"/>
      <c r="K5" s="873" t="s">
        <v>106</v>
      </c>
      <c r="L5" s="873"/>
      <c r="M5" s="1"/>
      <c r="N5" s="873" t="s">
        <v>106</v>
      </c>
      <c r="O5" s="873"/>
      <c r="P5" s="1"/>
      <c r="Q5" s="871"/>
      <c r="R5" s="871"/>
      <c r="S5" s="20"/>
      <c r="T5" s="873" t="s">
        <v>347</v>
      </c>
      <c r="U5" s="873"/>
      <c r="V5" s="873"/>
      <c r="W5" s="873"/>
      <c r="X5" s="20"/>
      <c r="Y5" s="872" t="s">
        <v>106</v>
      </c>
      <c r="Z5" s="872"/>
      <c r="AA5" s="1"/>
      <c r="AB5" s="873" t="s">
        <v>106</v>
      </c>
      <c r="AC5" s="873"/>
      <c r="AD5" s="1"/>
      <c r="AE5" s="871"/>
      <c r="AF5" s="871"/>
      <c r="AG5" s="1"/>
      <c r="AH5" s="872" t="s">
        <v>106</v>
      </c>
      <c r="AI5" s="872"/>
      <c r="AJ5" s="1"/>
      <c r="AK5" s="873" t="s">
        <v>106</v>
      </c>
      <c r="AL5" s="873"/>
      <c r="AM5" s="1"/>
      <c r="AN5" s="871"/>
      <c r="AO5" s="871"/>
      <c r="AP5" s="1"/>
      <c r="AQ5" s="1"/>
      <c r="AR5" s="1"/>
      <c r="AS5" s="1"/>
      <c r="AT5" s="1"/>
    </row>
    <row r="6" spans="1:46" ht="15.6">
      <c r="A6" s="1"/>
      <c r="B6" s="117" t="s">
        <v>108</v>
      </c>
      <c r="C6" s="654">
        <f>VRF!M19</f>
        <v>1.6</v>
      </c>
      <c r="D6" s="1"/>
      <c r="E6" s="117" t="s">
        <v>108</v>
      </c>
      <c r="F6" s="665">
        <f>C6</f>
        <v>1.6</v>
      </c>
      <c r="G6" s="1"/>
      <c r="H6" s="874" t="s">
        <v>339</v>
      </c>
      <c r="I6" s="874"/>
      <c r="J6" s="638"/>
      <c r="K6" s="117" t="s">
        <v>108</v>
      </c>
      <c r="L6" s="654">
        <f>VRF!M25</f>
        <v>133.42554103319196</v>
      </c>
      <c r="M6" s="1"/>
      <c r="N6" s="117" t="s">
        <v>108</v>
      </c>
      <c r="O6" s="659">
        <f>L6</f>
        <v>133.42554103319196</v>
      </c>
      <c r="P6" s="1"/>
      <c r="Q6" s="70"/>
      <c r="R6" s="71"/>
      <c r="S6" s="70"/>
      <c r="T6" s="690"/>
      <c r="U6" s="691" t="s">
        <v>324</v>
      </c>
      <c r="V6" s="691" t="s">
        <v>220</v>
      </c>
      <c r="W6" s="691" t="s">
        <v>155</v>
      </c>
      <c r="X6" s="71"/>
      <c r="Y6" s="117" t="s">
        <v>108</v>
      </c>
      <c r="Z6" s="654">
        <f>VRF!AC17/SQRT(12)</f>
        <v>2.3094010767585034</v>
      </c>
      <c r="AA6" s="1"/>
      <c r="AB6" s="117" t="s">
        <v>108</v>
      </c>
      <c r="AC6" s="654">
        <f>Z6</f>
        <v>2.3094010767585034</v>
      </c>
      <c r="AD6" s="1"/>
      <c r="AE6" s="70"/>
      <c r="AF6" s="71"/>
      <c r="AG6" s="1"/>
      <c r="AH6" s="117" t="s">
        <v>108</v>
      </c>
      <c r="AI6" s="654">
        <f>VRF!AF50</f>
        <v>2.3094010767585034</v>
      </c>
      <c r="AJ6" s="1"/>
      <c r="AK6" s="117" t="s">
        <v>108</v>
      </c>
      <c r="AL6" s="654">
        <f>AI6</f>
        <v>2.3094010767585034</v>
      </c>
      <c r="AM6" s="1"/>
      <c r="AN6" s="70"/>
      <c r="AO6" s="71"/>
      <c r="AP6" s="1"/>
      <c r="AQ6" s="1"/>
      <c r="AR6" s="1"/>
      <c r="AS6" s="1"/>
      <c r="AT6" s="1"/>
    </row>
    <row r="7" spans="1:46" ht="16.2">
      <c r="A7" s="1"/>
      <c r="B7" s="117" t="s">
        <v>107</v>
      </c>
      <c r="C7" s="655">
        <f>VRF!M20</f>
        <v>2.1558679520580548</v>
      </c>
      <c r="D7" s="1"/>
      <c r="E7" s="117" t="s">
        <v>107</v>
      </c>
      <c r="F7" s="673">
        <f>C7</f>
        <v>2.1558679520580548</v>
      </c>
      <c r="G7" s="1"/>
      <c r="H7" s="647" t="s">
        <v>218</v>
      </c>
      <c r="I7" s="662">
        <f>(5/384)*((VRF!P13/100)*(VRF!M11^4))/(RST!$N$12*VRF!P9)</f>
        <v>0.31063718807743051</v>
      </c>
      <c r="J7" s="638"/>
      <c r="K7" s="117" t="s">
        <v>107</v>
      </c>
      <c r="L7" s="655">
        <f>VRF!M26</f>
        <v>2.2023716516105649</v>
      </c>
      <c r="M7" s="1"/>
      <c r="N7" s="117" t="s">
        <v>107</v>
      </c>
      <c r="O7" s="655">
        <f>L7</f>
        <v>2.2023716516105649</v>
      </c>
      <c r="P7" s="1"/>
      <c r="Q7" s="70"/>
      <c r="R7" s="72"/>
      <c r="S7" s="70"/>
      <c r="T7" s="117" t="s">
        <v>223</v>
      </c>
      <c r="U7" s="895">
        <f>VRF!U18/300</f>
        <v>0.83333333333333337</v>
      </c>
      <c r="V7" s="678">
        <f>(5/384)*((CMB!D138/100)*(VRF!U18^4))/(RST!$N$12*VRF!X10)</f>
        <v>0.3812458890336386</v>
      </c>
      <c r="W7" s="678">
        <f>(5/384)*((CMB!F138/100)*(VRF!X18^4))/(RST!$N$12*VRF!X9)</f>
        <v>0.17770502727954884</v>
      </c>
      <c r="X7" s="632"/>
      <c r="Y7" s="117" t="s">
        <v>107</v>
      </c>
      <c r="Z7" s="655">
        <f>VRF!AC49*100/Z6</f>
        <v>66.712770516595981</v>
      </c>
      <c r="AA7" s="1"/>
      <c r="AB7" s="117" t="s">
        <v>107</v>
      </c>
      <c r="AC7" s="655">
        <f>Z7</f>
        <v>66.712770516595981</v>
      </c>
      <c r="AD7" s="1"/>
      <c r="AE7" s="70"/>
      <c r="AF7" s="72"/>
      <c r="AG7" s="1"/>
      <c r="AH7" s="117" t="s">
        <v>107</v>
      </c>
      <c r="AI7" s="655">
        <f>VRF!AF52</f>
        <v>1.1011858258052825</v>
      </c>
      <c r="AJ7" s="1"/>
      <c r="AK7" s="117" t="s">
        <v>107</v>
      </c>
      <c r="AL7" s="655">
        <f>AI7</f>
        <v>1.1011858258052825</v>
      </c>
      <c r="AM7" s="1"/>
      <c r="AN7" s="70"/>
      <c r="AO7" s="72"/>
      <c r="AP7" s="1"/>
      <c r="AQ7" s="1"/>
      <c r="AR7" s="1"/>
      <c r="AS7" s="1"/>
      <c r="AT7" s="1"/>
    </row>
    <row r="8" spans="1:46" ht="15.6">
      <c r="A8" s="1"/>
      <c r="B8" s="877" t="s">
        <v>141</v>
      </c>
      <c r="C8" s="877"/>
      <c r="D8" s="1"/>
      <c r="E8" s="877" t="s">
        <v>142</v>
      </c>
      <c r="F8" s="877"/>
      <c r="G8" s="1"/>
      <c r="H8" s="647" t="s">
        <v>217</v>
      </c>
      <c r="I8" s="662">
        <f>(1/384)*((VRF!M11^3)/(RST!$N$12*VRF!P9))*(5*((CRG!G14*CMB!J67)/100)*VRF!M11+8*CMB!L60)</f>
        <v>0.81041632865788416</v>
      </c>
      <c r="J8" s="638"/>
      <c r="K8" s="877" t="s">
        <v>141</v>
      </c>
      <c r="L8" s="877"/>
      <c r="M8" s="1"/>
      <c r="N8" s="877" t="str">
        <f>E8</f>
        <v>PEÇA ESBELTA</v>
      </c>
      <c r="O8" s="877"/>
      <c r="P8" s="1"/>
      <c r="Q8" s="878"/>
      <c r="R8" s="878"/>
      <c r="S8" s="73"/>
      <c r="T8" s="118" t="s">
        <v>222</v>
      </c>
      <c r="U8" s="895"/>
      <c r="V8" s="678">
        <f>(1/384)*((VRF!U18^3)/(RST!$N$12*VRF!X10))*(5*((CRG!J13*CMB!J112)/100)*VRF!U18+8*CMB!J105)</f>
        <v>0.46263734596154443</v>
      </c>
      <c r="W8" s="678">
        <f>(1/384)*((VRF!U18^3)/(RST!$N$12*VRF!X9))*(5*((CRG!J14*CMB!J112)/100)*VRF!U18+8*CMB!L105)</f>
        <v>0.21564293425700495</v>
      </c>
      <c r="X8" s="73"/>
      <c r="Y8" s="877" t="s">
        <v>141</v>
      </c>
      <c r="Z8" s="877"/>
      <c r="AA8" s="1"/>
      <c r="AB8" s="877" t="s">
        <v>142</v>
      </c>
      <c r="AC8" s="877"/>
      <c r="AD8" s="1"/>
      <c r="AE8" s="878"/>
      <c r="AF8" s="878"/>
      <c r="AG8" s="1"/>
      <c r="AH8" s="877" t="s">
        <v>141</v>
      </c>
      <c r="AI8" s="877"/>
      <c r="AJ8" s="1"/>
      <c r="AK8" s="877" t="s">
        <v>142</v>
      </c>
      <c r="AL8" s="877"/>
      <c r="AM8" s="1"/>
      <c r="AN8" s="878"/>
      <c r="AO8" s="878"/>
      <c r="AP8" s="1"/>
      <c r="AQ8" s="1"/>
      <c r="AR8" s="1"/>
      <c r="AS8" s="1"/>
      <c r="AT8" s="1"/>
    </row>
    <row r="9" spans="1:46" ht="15.6">
      <c r="A9" s="1"/>
      <c r="B9" s="873" t="s">
        <v>140</v>
      </c>
      <c r="C9" s="873"/>
      <c r="D9" s="1"/>
      <c r="E9" s="116" t="s">
        <v>115</v>
      </c>
      <c r="F9" s="674">
        <f>VRF!M14</f>
        <v>51.740830849393319</v>
      </c>
      <c r="G9" s="1"/>
      <c r="H9" s="647" t="s">
        <v>219</v>
      </c>
      <c r="I9" s="662">
        <f>LARGE(I7:I8,1)</f>
        <v>0.81041632865788416</v>
      </c>
      <c r="J9" s="1"/>
      <c r="K9" s="873" t="s">
        <v>140</v>
      </c>
      <c r="L9" s="873"/>
      <c r="M9" s="1"/>
      <c r="N9" s="873" t="s">
        <v>140</v>
      </c>
      <c r="O9" s="873"/>
      <c r="P9" s="1"/>
      <c r="Q9" s="871"/>
      <c r="R9" s="871"/>
      <c r="S9" s="20"/>
      <c r="T9" s="116" t="s">
        <v>325</v>
      </c>
      <c r="U9" s="895"/>
      <c r="V9" s="679">
        <f>MAX(V7:V8)</f>
        <v>0.46263734596154443</v>
      </c>
      <c r="W9" s="679">
        <f>MAX(W7:W8)</f>
        <v>0.21564293425700495</v>
      </c>
      <c r="X9" s="633"/>
      <c r="Y9" s="876" t="s">
        <v>140</v>
      </c>
      <c r="Z9" s="876"/>
      <c r="AA9" s="1"/>
      <c r="AB9" s="876" t="s">
        <v>140</v>
      </c>
      <c r="AC9" s="876"/>
      <c r="AD9" s="1"/>
      <c r="AE9" s="871"/>
      <c r="AF9" s="871"/>
      <c r="AG9" s="1"/>
      <c r="AH9" s="876" t="s">
        <v>140</v>
      </c>
      <c r="AI9" s="876"/>
      <c r="AJ9" s="1"/>
      <c r="AK9" s="876" t="s">
        <v>140</v>
      </c>
      <c r="AL9" s="876"/>
      <c r="AM9" s="1"/>
      <c r="AN9" s="871"/>
      <c r="AO9" s="871"/>
      <c r="AP9" s="1"/>
      <c r="AQ9" s="1"/>
      <c r="AR9" s="1"/>
      <c r="AS9" s="1"/>
      <c r="AT9" s="1"/>
    </row>
    <row r="10" spans="1:46" ht="15.6">
      <c r="A10" s="1"/>
      <c r="B10" s="116" t="s">
        <v>100</v>
      </c>
      <c r="C10" s="657">
        <f>RST!$N$8</f>
        <v>1.6</v>
      </c>
      <c r="D10" s="1"/>
      <c r="E10" s="882" t="s">
        <v>139</v>
      </c>
      <c r="F10" s="873"/>
      <c r="G10" s="1"/>
      <c r="H10" s="647" t="s">
        <v>345</v>
      </c>
      <c r="I10" s="662">
        <f>VRF!M11/300</f>
        <v>0.51355514688189907</v>
      </c>
      <c r="J10" s="638"/>
      <c r="K10" s="116" t="s">
        <v>100</v>
      </c>
      <c r="L10" s="657">
        <f>RST!$N$8</f>
        <v>1.6</v>
      </c>
      <c r="M10" s="1"/>
      <c r="N10" s="116" t="s">
        <v>100</v>
      </c>
      <c r="O10" s="648">
        <f>RST!$N$8</f>
        <v>1.6</v>
      </c>
      <c r="P10" s="1"/>
      <c r="Q10" s="21"/>
      <c r="R10" s="634"/>
      <c r="S10" s="21"/>
      <c r="T10" s="21"/>
      <c r="U10" s="677"/>
      <c r="V10" s="1"/>
      <c r="W10" s="1"/>
      <c r="X10" s="68"/>
      <c r="Y10" s="116" t="s">
        <v>100</v>
      </c>
      <c r="Z10" s="648">
        <f>RST!$N$8</f>
        <v>1.6</v>
      </c>
      <c r="AA10" s="1"/>
      <c r="AB10" s="116" t="s">
        <v>100</v>
      </c>
      <c r="AC10" s="648">
        <f>RST!$N$8</f>
        <v>1.6</v>
      </c>
      <c r="AD10" s="1"/>
      <c r="AE10" s="21"/>
      <c r="AF10" s="639"/>
      <c r="AG10" s="1"/>
      <c r="AH10" s="116" t="s">
        <v>100</v>
      </c>
      <c r="AI10" s="648">
        <f>RST!$N$8</f>
        <v>1.6</v>
      </c>
      <c r="AJ10" s="1"/>
      <c r="AK10" s="116" t="s">
        <v>100</v>
      </c>
      <c r="AL10" s="648">
        <f>RST!$N$8</f>
        <v>1.6</v>
      </c>
      <c r="AM10" s="1"/>
      <c r="AN10" s="21"/>
      <c r="AO10" s="79"/>
      <c r="AP10" s="1"/>
      <c r="AQ10" s="1"/>
      <c r="AR10" s="1"/>
      <c r="AS10" s="1"/>
      <c r="AT10" s="1"/>
    </row>
    <row r="11" spans="1:46" ht="14.25" customHeight="1">
      <c r="A11" s="1"/>
      <c r="B11" s="646" t="s">
        <v>116</v>
      </c>
      <c r="C11" s="656">
        <f>VRF!M15/(VRF!$M$9*VRF!$M$10)</f>
        <v>2.1738324478113455E-2</v>
      </c>
      <c r="D11" s="1"/>
      <c r="E11" s="646" t="s">
        <v>118</v>
      </c>
      <c r="F11" s="667">
        <f>$F$9*(VRF!$M$9/2)/VRF!$P$9</f>
        <v>2.1558679520580548</v>
      </c>
      <c r="G11" s="1"/>
      <c r="H11" s="884" t="str">
        <f>IF($I$9&lt;=$I$10,"ATENDE","NÃO ATENDE")</f>
        <v>NÃO ATENDE</v>
      </c>
      <c r="I11" s="884"/>
      <c r="J11" s="1"/>
      <c r="K11" s="646" t="s">
        <v>116</v>
      </c>
      <c r="L11" s="656">
        <f>VRF!M15/VRF!M12</f>
        <v>2.1738324478113455E-2</v>
      </c>
      <c r="M11" s="1"/>
      <c r="N11" s="646" t="s">
        <v>116</v>
      </c>
      <c r="O11" s="649">
        <f>L25</f>
        <v>2.0590474886483981E-2</v>
      </c>
      <c r="P11" s="1"/>
      <c r="Q11" s="21"/>
      <c r="R11" s="634"/>
      <c r="S11" s="21"/>
      <c r="T11" s="876" t="s">
        <v>340</v>
      </c>
      <c r="U11" s="876"/>
      <c r="V11" s="876"/>
      <c r="W11" s="876"/>
      <c r="X11" s="20"/>
      <c r="Y11" s="646" t="s">
        <v>116</v>
      </c>
      <c r="Z11" s="649">
        <f>VRF!AC48/(VRF!$AC$16*VRF!$AC$17)</f>
        <v>0.31012615393020337</v>
      </c>
      <c r="AA11" s="1"/>
      <c r="AB11" s="646" t="s">
        <v>116</v>
      </c>
      <c r="AC11" s="649">
        <f>Z20</f>
        <v>0.50488584384604662</v>
      </c>
      <c r="AD11" s="1"/>
      <c r="AE11" s="21"/>
      <c r="AF11" s="639"/>
      <c r="AG11" s="1"/>
      <c r="AH11" s="646" t="s">
        <v>116</v>
      </c>
      <c r="AI11" s="649">
        <f>VRF!AF48/(VRF!$AC$16*VRF!$AC$17)</f>
        <v>0.10337538464340112</v>
      </c>
      <c r="AJ11" s="1"/>
      <c r="AK11" s="646" t="s">
        <v>116</v>
      </c>
      <c r="AL11" s="649">
        <f>AI20</f>
        <v>9.7546622995839882E-2</v>
      </c>
      <c r="AM11" s="1"/>
      <c r="AN11" s="21"/>
      <c r="AO11" s="79"/>
      <c r="AP11" s="1"/>
      <c r="AQ11" s="1"/>
      <c r="AR11" s="1"/>
      <c r="AS11" s="1"/>
      <c r="AT11" s="1"/>
    </row>
    <row r="12" spans="1:46" ht="15.6">
      <c r="A12" s="1"/>
      <c r="B12" s="879" t="str">
        <f>IF($C$11&lt;=$C$10,"ATENDE","NÃO ATENDE")</f>
        <v>ATENDE</v>
      </c>
      <c r="C12" s="879"/>
      <c r="D12" s="1"/>
      <c r="E12" s="882" t="s">
        <v>140</v>
      </c>
      <c r="F12" s="873"/>
      <c r="G12" s="1"/>
      <c r="H12" s="874" t="s">
        <v>341</v>
      </c>
      <c r="I12" s="874"/>
      <c r="J12" s="1"/>
      <c r="K12" s="879" t="str">
        <f>IF($L$11&lt;=$L$10,"ATENDE","NÃO ATENDE")</f>
        <v>ATENDE</v>
      </c>
      <c r="L12" s="879"/>
      <c r="M12" s="1"/>
      <c r="N12" s="879" t="str">
        <f>IF($O$11&lt;=$O$10,"ATENDE","NÃO ATENDE")</f>
        <v>ATENDE</v>
      </c>
      <c r="O12" s="879"/>
      <c r="P12" s="1"/>
      <c r="Q12" s="21"/>
      <c r="R12" s="634"/>
      <c r="S12" s="74"/>
      <c r="T12" s="117"/>
      <c r="U12" s="647" t="s">
        <v>324</v>
      </c>
      <c r="V12" s="647" t="s">
        <v>220</v>
      </c>
      <c r="W12" s="647" t="s">
        <v>155</v>
      </c>
      <c r="X12" s="71"/>
      <c r="Y12" s="879" t="str">
        <f>IF($Z$11&lt;=$Z$10,"ATENDE","NÃO ATENDE")</f>
        <v>ATENDE</v>
      </c>
      <c r="Z12" s="879"/>
      <c r="AA12" s="1"/>
      <c r="AB12" s="879" t="str">
        <f>IF($AC$11&lt;=$AC$10,"ATENDE","NÃO ATENDE")</f>
        <v>ATENDE</v>
      </c>
      <c r="AC12" s="879"/>
      <c r="AD12" s="1"/>
      <c r="AE12" s="21"/>
      <c r="AF12" s="639"/>
      <c r="AG12" s="1"/>
      <c r="AH12" s="880" t="str">
        <f>IF($AI$11&lt;=$AI$10,"ATENDE","NÃO ATENDE")</f>
        <v>ATENDE</v>
      </c>
      <c r="AI12" s="880"/>
      <c r="AJ12" s="1"/>
      <c r="AK12" s="879" t="str">
        <f>IF($AL$11&lt;=$AL$10,"ATENDE","NÃO ATENDE")</f>
        <v>ATENDE</v>
      </c>
      <c r="AL12" s="879"/>
      <c r="AM12" s="1"/>
      <c r="AN12" s="21"/>
      <c r="AO12" s="79"/>
      <c r="AP12" s="1"/>
      <c r="AQ12" s="1"/>
      <c r="AR12" s="1"/>
      <c r="AS12" s="1"/>
      <c r="AT12" s="1"/>
    </row>
    <row r="13" spans="1:46" ht="16.2">
      <c r="A13" s="1"/>
      <c r="B13" s="873" t="s">
        <v>139</v>
      </c>
      <c r="C13" s="873"/>
      <c r="D13" s="1"/>
      <c r="E13" s="116" t="s">
        <v>100</v>
      </c>
      <c r="F13" s="666">
        <f>RST!$N$8</f>
        <v>1.6</v>
      </c>
      <c r="G13" s="1"/>
      <c r="H13" s="647" t="s">
        <v>218</v>
      </c>
      <c r="I13" s="662">
        <f>(5/384)*((VRF!P14/100)*(VRF!M11^4))/(RST!$N$12*VRF!P9)</f>
        <v>0.38934468058532584</v>
      </c>
      <c r="J13" s="638"/>
      <c r="K13" s="873" t="s">
        <v>139</v>
      </c>
      <c r="L13" s="873"/>
      <c r="M13" s="1"/>
      <c r="N13" s="873" t="s">
        <v>138</v>
      </c>
      <c r="O13" s="873"/>
      <c r="P13" s="1"/>
      <c r="Q13" s="871"/>
      <c r="R13" s="871"/>
      <c r="S13" s="20"/>
      <c r="T13" s="117" t="s">
        <v>223</v>
      </c>
      <c r="U13" s="881">
        <f>VRF!U18/150</f>
        <v>1.6666666666666667</v>
      </c>
      <c r="V13" s="654">
        <f>(5/384)*((CMB!D141/100)*(VRF!U18^4))/(RST!$N$12*VRF!X10)</f>
        <v>0.48606836545391335</v>
      </c>
      <c r="W13" s="655">
        <f>(5/384)*((CMB!F141/100)*(VRF!X18^4))/(RST!$N$12*VRF!X9)</f>
        <v>0.22656452076547404</v>
      </c>
      <c r="X13" s="632"/>
      <c r="Y13" s="1"/>
      <c r="Z13" s="1"/>
      <c r="AA13" s="1"/>
      <c r="AB13" s="876" t="s">
        <v>138</v>
      </c>
      <c r="AC13" s="876"/>
      <c r="AD13" s="1"/>
      <c r="AE13" s="871"/>
      <c r="AF13" s="871"/>
      <c r="AG13" s="1"/>
      <c r="AH13" s="1"/>
      <c r="AI13" s="1"/>
      <c r="AJ13" s="1"/>
      <c r="AK13" s="876" t="s">
        <v>138</v>
      </c>
      <c r="AL13" s="876"/>
      <c r="AM13" s="1"/>
      <c r="AN13" s="871"/>
      <c r="AO13" s="871"/>
      <c r="AP13" s="1"/>
      <c r="AQ13" s="1"/>
      <c r="AR13" s="1"/>
      <c r="AS13" s="1"/>
      <c r="AT13" s="1"/>
    </row>
    <row r="14" spans="1:46" ht="15.6">
      <c r="A14" s="1"/>
      <c r="B14" s="646" t="s">
        <v>118</v>
      </c>
      <c r="C14" s="656">
        <f>VRF!M14*(VRF!$M$9/2)/VRF!$P$9</f>
        <v>2.1558679520580548</v>
      </c>
      <c r="D14" s="1"/>
      <c r="E14" s="646" t="s">
        <v>189</v>
      </c>
      <c r="F14" s="667">
        <f>C25</f>
        <v>2.0587199882137686E-2</v>
      </c>
      <c r="G14" s="1"/>
      <c r="H14" s="647" t="s">
        <v>217</v>
      </c>
      <c r="I14" s="662">
        <f>(1/384)*((VRF!M11^3)/(RST!$N$12*VRF!P9))*(5*((CRG!G14*CMB!J67)/100)*VRF!M11+8*CMB!L60*CMB!G9)*(1+VRF!P15)</f>
        <v>0.62923866806394368</v>
      </c>
      <c r="J14" s="638"/>
      <c r="K14" s="646" t="s">
        <v>118</v>
      </c>
      <c r="L14" s="656">
        <f>0</f>
        <v>0</v>
      </c>
      <c r="M14" s="1"/>
      <c r="N14" s="675" t="s">
        <v>117</v>
      </c>
      <c r="O14" s="658">
        <f>($O$11)/$O$10</f>
        <v>1.2869046804052488E-2</v>
      </c>
      <c r="P14" s="1"/>
      <c r="Q14" s="21"/>
      <c r="R14" s="634"/>
      <c r="S14" s="21"/>
      <c r="T14" s="118" t="s">
        <v>222</v>
      </c>
      <c r="U14" s="881"/>
      <c r="V14" s="654">
        <f>(1/384)*((VRF!U18^3)/(RST!$N$12*VRF!X10))*(5*((CRG!J13*CMB!J112)/100)*VRF!U18+8*CMB!J105*CMB!G9)*(1+RST!E10)</f>
        <v>0.52513626477930819</v>
      </c>
      <c r="W14" s="655">
        <f>(1/384)*((VRF!U18^3)/(RST!$N$12*VRF!X9))*(5*((CRG!J14*CMB!J112)/100)*VRF!U18+8*CMB!L105*CMB!G9)*(1+RST!E10)</f>
        <v>0.24477471611465296</v>
      </c>
      <c r="X14" s="73"/>
      <c r="Y14" s="116" t="s">
        <v>309</v>
      </c>
      <c r="Z14" s="682">
        <f>DSB!C47*0.7</f>
        <v>11900</v>
      </c>
      <c r="AA14" s="1"/>
      <c r="AB14" s="676" t="s">
        <v>117</v>
      </c>
      <c r="AC14" s="680">
        <f>(AC11)/AC10</f>
        <v>0.31555365240377914</v>
      </c>
      <c r="AD14" s="1"/>
      <c r="AE14" s="21"/>
      <c r="AF14" s="639"/>
      <c r="AG14" s="1"/>
      <c r="AH14" s="116" t="s">
        <v>309</v>
      </c>
      <c r="AI14" s="682">
        <f>Z14</f>
        <v>11900</v>
      </c>
      <c r="AJ14" s="1"/>
      <c r="AK14" s="676" t="s">
        <v>117</v>
      </c>
      <c r="AL14" s="680">
        <f>(AL11)/AL10</f>
        <v>6.0966639372399926E-2</v>
      </c>
      <c r="AM14" s="1"/>
      <c r="AN14" s="21"/>
      <c r="AO14" s="79"/>
      <c r="AP14" s="1"/>
      <c r="AQ14" s="1"/>
      <c r="AR14" s="1"/>
      <c r="AS14" s="1"/>
      <c r="AT14" s="1"/>
    </row>
    <row r="15" spans="1:46" ht="15.6">
      <c r="A15" s="1"/>
      <c r="B15" s="873" t="s">
        <v>138</v>
      </c>
      <c r="C15" s="873"/>
      <c r="D15" s="1"/>
      <c r="E15" s="884" t="str">
        <f>IF($F$14&lt;=$F$13,"ATENDE","NÃO ATENDE")</f>
        <v>ATENDE</v>
      </c>
      <c r="F15" s="879"/>
      <c r="G15" s="1"/>
      <c r="H15" s="647" t="s">
        <v>219</v>
      </c>
      <c r="I15" s="662">
        <f>LARGE(I13:I14,1)</f>
        <v>0.62923866806394368</v>
      </c>
      <c r="J15" s="638"/>
      <c r="K15" s="873" t="s">
        <v>138</v>
      </c>
      <c r="L15" s="873"/>
      <c r="M15" s="1"/>
      <c r="N15" s="883" t="str">
        <f>IF($O$14&lt;=1,"ATENDE ≤ 1","NÃO ATENDE &gt; 1")</f>
        <v>ATENDE ≤ 1</v>
      </c>
      <c r="O15" s="883"/>
      <c r="P15" s="1"/>
      <c r="Q15" s="21"/>
      <c r="R15" s="634"/>
      <c r="S15" s="21"/>
      <c r="T15" s="116" t="s">
        <v>224</v>
      </c>
      <c r="U15" s="881"/>
      <c r="V15" s="681">
        <f>MAX(V13:V14)</f>
        <v>0.52513626477930819</v>
      </c>
      <c r="W15" s="681">
        <f>MAX(W13:W14)</f>
        <v>0.24477471611465296</v>
      </c>
      <c r="X15" s="633"/>
      <c r="Y15" s="646" t="s">
        <v>310</v>
      </c>
      <c r="Z15" s="649">
        <f>DSB!I46</f>
        <v>32</v>
      </c>
      <c r="AA15" s="1"/>
      <c r="AB15" s="883" t="str">
        <f>IF($AC$14&lt;=1,"ATENDE ≤ 1","NÃO ATENDE &gt; 1")</f>
        <v>ATENDE ≤ 1</v>
      </c>
      <c r="AC15" s="883"/>
      <c r="AD15" s="1"/>
      <c r="AE15" s="21"/>
      <c r="AF15" s="639"/>
      <c r="AG15" s="1"/>
      <c r="AH15" s="646" t="s">
        <v>310</v>
      </c>
      <c r="AI15" s="649">
        <f>Z15</f>
        <v>32</v>
      </c>
      <c r="AJ15" s="1"/>
      <c r="AK15" s="883" t="str">
        <f>IF($AL$14&lt;=1,"ATENDE ≤ 1","NÃO ATENDE &gt; 1")</f>
        <v>ATENDE ≤ 1</v>
      </c>
      <c r="AL15" s="883"/>
      <c r="AM15" s="1"/>
      <c r="AN15" s="21"/>
      <c r="AO15" s="79"/>
      <c r="AP15" s="1"/>
      <c r="AQ15" s="1"/>
      <c r="AR15" s="1"/>
      <c r="AS15" s="1"/>
      <c r="AT15" s="1"/>
    </row>
    <row r="16" spans="1:46">
      <c r="A16" s="1"/>
      <c r="B16" s="675" t="s">
        <v>117</v>
      </c>
      <c r="C16" s="658">
        <f>(($C$11/$C$10)^2)+($C$14/$C$10)</f>
        <v>1.3476020617359388</v>
      </c>
      <c r="D16" s="1"/>
      <c r="E16" s="874" t="s">
        <v>138</v>
      </c>
      <c r="F16" s="873"/>
      <c r="G16" s="1"/>
      <c r="H16" s="647" t="s">
        <v>345</v>
      </c>
      <c r="I16" s="662">
        <f>VRF!M11/150</f>
        <v>1.0271102937637981</v>
      </c>
      <c r="J16" s="1"/>
      <c r="K16" s="675" t="s">
        <v>117</v>
      </c>
      <c r="L16" s="658">
        <f>((L11/$C$10)^2)+(L14/$C$10)</f>
        <v>1.8459169965458853E-4</v>
      </c>
      <c r="M16" s="1"/>
      <c r="N16" s="21"/>
      <c r="O16" s="634"/>
      <c r="P16" s="1"/>
      <c r="Q16" s="21"/>
      <c r="R16" s="634"/>
      <c r="S16" s="74"/>
      <c r="T16" s="876" t="s">
        <v>348</v>
      </c>
      <c r="U16" s="876"/>
      <c r="V16" s="876"/>
      <c r="W16" s="876"/>
      <c r="X16" s="74"/>
      <c r="Y16" s="646" t="s">
        <v>311</v>
      </c>
      <c r="Z16" s="650">
        <f>Z7/PI()*(Z15/Z14)^0.5</f>
        <v>1.1011858258052825</v>
      </c>
      <c r="AA16" s="1"/>
      <c r="AB16" s="21"/>
      <c r="AC16" s="68"/>
      <c r="AD16" s="1"/>
      <c r="AE16" s="21"/>
      <c r="AF16" s="639"/>
      <c r="AG16" s="1"/>
      <c r="AH16" s="646" t="s">
        <v>311</v>
      </c>
      <c r="AI16" s="650">
        <f>AI7/PI()*(AI15/AI14)^0.5</f>
        <v>1.817658318736446E-2</v>
      </c>
      <c r="AJ16" s="1"/>
      <c r="AK16" s="21"/>
      <c r="AL16" s="68"/>
      <c r="AM16" s="1"/>
      <c r="AN16" s="21"/>
      <c r="AO16" s="79"/>
      <c r="AP16" s="1"/>
      <c r="AQ16" s="1"/>
      <c r="AR16" s="1"/>
      <c r="AS16" s="1"/>
      <c r="AT16" s="1"/>
    </row>
    <row r="17" spans="1:46" ht="18" customHeight="1">
      <c r="A17" s="1"/>
      <c r="B17" s="883" t="str">
        <f>IF($C$16&lt;=1,"ATENDE ≤ 1","NÃO ATENDE &gt; 1")</f>
        <v>NÃO ATENDE &gt; 1</v>
      </c>
      <c r="C17" s="883"/>
      <c r="D17" s="1"/>
      <c r="E17" s="675" t="s">
        <v>117</v>
      </c>
      <c r="F17" s="668">
        <f>($F$11+$F$14)/$F$13</f>
        <v>1.3602844699626204</v>
      </c>
      <c r="G17" s="1"/>
      <c r="H17" s="884" t="str">
        <f>IF($I$15&lt;=$I$16,"ATENDE","NÃO ATENDE")</f>
        <v>ATENDE</v>
      </c>
      <c r="I17" s="884"/>
      <c r="J17" s="1"/>
      <c r="K17" s="885" t="str">
        <f>IF($L$16&lt;=1,"ATENDE ≤ 1","NÃO ATENDE &gt; 1")</f>
        <v>ATENDE ≤ 1</v>
      </c>
      <c r="L17" s="886"/>
      <c r="M17" s="1"/>
      <c r="N17" s="871"/>
      <c r="O17" s="871"/>
      <c r="P17" s="1"/>
      <c r="Q17" s="871"/>
      <c r="R17" s="871"/>
      <c r="S17" s="20"/>
      <c r="T17" s="692"/>
      <c r="U17" s="692"/>
      <c r="V17" s="693" t="s">
        <v>220</v>
      </c>
      <c r="W17" s="693" t="s">
        <v>155</v>
      </c>
      <c r="X17" s="20"/>
      <c r="Y17" s="647" t="s">
        <v>312</v>
      </c>
      <c r="Z17" s="651">
        <v>0.2</v>
      </c>
      <c r="AA17" s="1"/>
      <c r="AB17" s="871"/>
      <c r="AC17" s="871"/>
      <c r="AD17" s="1"/>
      <c r="AE17" s="871"/>
      <c r="AF17" s="871"/>
      <c r="AG17" s="1"/>
      <c r="AH17" s="647" t="s">
        <v>312</v>
      </c>
      <c r="AI17" s="651">
        <v>0.2</v>
      </c>
      <c r="AJ17" s="1"/>
      <c r="AK17" s="871"/>
      <c r="AL17" s="871"/>
      <c r="AM17" s="1"/>
      <c r="AN17" s="871"/>
      <c r="AO17" s="871"/>
      <c r="AP17" s="1"/>
      <c r="AQ17" s="1"/>
      <c r="AR17" s="1"/>
      <c r="AS17" s="1"/>
      <c r="AT17" s="1"/>
    </row>
    <row r="18" spans="1:46" ht="15.6">
      <c r="A18" s="1"/>
      <c r="B18" s="1"/>
      <c r="C18" s="1"/>
      <c r="D18" s="1"/>
      <c r="E18" s="887" t="str">
        <f>IF($F$17&lt;=1,"ATENDE ≤ 1","NÃO ATENDE &gt; 1")</f>
        <v>NÃO ATENDE &gt; 1</v>
      </c>
      <c r="F18" s="883"/>
      <c r="G18" s="1"/>
      <c r="H18" s="874" t="s">
        <v>346</v>
      </c>
      <c r="I18" s="874"/>
      <c r="J18" s="1"/>
      <c r="K18" s="1"/>
      <c r="L18" s="1"/>
      <c r="M18" s="1"/>
      <c r="N18" s="21"/>
      <c r="O18" s="69"/>
      <c r="P18" s="1"/>
      <c r="Q18" s="21"/>
      <c r="R18" s="69"/>
      <c r="S18" s="21"/>
      <c r="T18" s="603"/>
      <c r="U18" s="116" t="s">
        <v>349</v>
      </c>
      <c r="V18" s="609">
        <f>IF((V9/$U$7)&gt;=(V15/$U$13),V9,V15)</f>
        <v>0.46263734596154443</v>
      </c>
      <c r="W18" s="609">
        <f>IF((W9/$U$7)&gt;=(W15/$U$13),W9,W15)</f>
        <v>0.21564293425700495</v>
      </c>
      <c r="X18" s="69"/>
      <c r="Y18" s="646" t="s">
        <v>313</v>
      </c>
      <c r="Z18" s="652">
        <f>0.5*(1+Z17*(Z16-0.3)+Z16^2)</f>
        <v>1.1864236940577593</v>
      </c>
      <c r="AA18" s="1"/>
      <c r="AB18" s="21"/>
      <c r="AC18" s="69"/>
      <c r="AD18" s="1"/>
      <c r="AE18" s="21"/>
      <c r="AF18" s="69"/>
      <c r="AG18" s="1"/>
      <c r="AH18" s="646" t="s">
        <v>313</v>
      </c>
      <c r="AI18" s="652">
        <f>0.5*(1+AI17*(AI16-0.3)+AI16^2)</f>
        <v>0.47198285240692006</v>
      </c>
      <c r="AJ18" s="1"/>
      <c r="AK18" s="21"/>
      <c r="AL18" s="69"/>
      <c r="AM18" s="1"/>
      <c r="AN18" s="21"/>
      <c r="AO18" s="69"/>
      <c r="AP18" s="1"/>
      <c r="AQ18" s="1"/>
      <c r="AR18" s="1"/>
      <c r="AS18" s="1"/>
      <c r="AT18" s="1"/>
    </row>
    <row r="19" spans="1:46">
      <c r="A19" s="1"/>
      <c r="B19" s="116" t="s">
        <v>309</v>
      </c>
      <c r="C19" s="648">
        <f>Z14</f>
        <v>11900</v>
      </c>
      <c r="D19" s="1"/>
      <c r="E19" s="871"/>
      <c r="F19" s="871"/>
      <c r="G19" s="1"/>
      <c r="H19" s="647" t="s">
        <v>219</v>
      </c>
      <c r="I19" s="662">
        <f>IF((I9/I10)&gt;=(I15/I16),I9,I15)</f>
        <v>0.81041632865788416</v>
      </c>
      <c r="J19" s="1"/>
      <c r="K19" s="116" t="s">
        <v>309</v>
      </c>
      <c r="L19" s="663">
        <f>AI14</f>
        <v>11900</v>
      </c>
      <c r="M19" s="1"/>
      <c r="N19" s="871"/>
      <c r="O19" s="871"/>
      <c r="P19" s="1"/>
      <c r="Q19" s="871"/>
      <c r="R19" s="871"/>
      <c r="S19" s="20"/>
      <c r="T19" s="603"/>
      <c r="U19" s="647" t="s">
        <v>324</v>
      </c>
      <c r="V19" s="609">
        <f>IF(V18=V9,U7,U13)</f>
        <v>0.83333333333333337</v>
      </c>
      <c r="W19" s="609">
        <f>IF(W18=W9,U7,U13)</f>
        <v>0.83333333333333337</v>
      </c>
      <c r="X19" s="20"/>
      <c r="Y19" s="689" t="s">
        <v>314</v>
      </c>
      <c r="Z19" s="683">
        <f>1/(Z18+(Z18^2-Z16^2)^0.5)</f>
        <v>0.61425004822430562</v>
      </c>
      <c r="AA19" s="1"/>
      <c r="AB19" s="871"/>
      <c r="AC19" s="871"/>
      <c r="AD19" s="1"/>
      <c r="AE19" s="871"/>
      <c r="AF19" s="871"/>
      <c r="AG19" s="1"/>
      <c r="AH19" s="646" t="s">
        <v>314</v>
      </c>
      <c r="AI19" s="650">
        <f>1/(AI18+(AI18^2-AI16^2)^0.5)</f>
        <v>1.0597535974957311</v>
      </c>
      <c r="AJ19" s="1"/>
      <c r="AK19" s="871"/>
      <c r="AL19" s="871"/>
      <c r="AM19" s="1"/>
      <c r="AN19" s="871"/>
      <c r="AO19" s="871"/>
      <c r="AP19" s="1"/>
      <c r="AQ19" s="1"/>
      <c r="AR19" s="1"/>
      <c r="AS19" s="1"/>
      <c r="AT19" s="1"/>
    </row>
    <row r="20" spans="1:46" ht="15.6">
      <c r="A20" s="1"/>
      <c r="B20" s="646" t="s">
        <v>310</v>
      </c>
      <c r="C20" s="649">
        <f>Z15</f>
        <v>32</v>
      </c>
      <c r="D20" s="1"/>
      <c r="E20" s="1"/>
      <c r="F20" s="1"/>
      <c r="G20" s="1"/>
      <c r="H20" s="647" t="s">
        <v>321</v>
      </c>
      <c r="I20" s="662">
        <f>IF(I19=I9,I10,I16)</f>
        <v>0.51355514688189907</v>
      </c>
      <c r="J20" s="1"/>
      <c r="K20" s="646" t="s">
        <v>310</v>
      </c>
      <c r="L20" s="664">
        <f>AI15</f>
        <v>32</v>
      </c>
      <c r="M20" s="1"/>
      <c r="N20" s="21"/>
      <c r="O20" s="634"/>
      <c r="P20" s="1"/>
      <c r="Q20" s="21"/>
      <c r="R20" s="634"/>
      <c r="S20" s="21"/>
      <c r="T20" s="21"/>
      <c r="U20" s="1"/>
      <c r="V20" s="635"/>
      <c r="W20" s="635"/>
      <c r="X20" s="68"/>
      <c r="Y20" s="646" t="s">
        <v>116</v>
      </c>
      <c r="Z20" s="649">
        <f>VRF!AC48/(VRF!$AC$16*VRF!$AC$17*Z19)</f>
        <v>0.50488584384604662</v>
      </c>
      <c r="AA20" s="1"/>
      <c r="AB20" s="21"/>
      <c r="AC20" s="77"/>
      <c r="AD20" s="1"/>
      <c r="AE20" s="21"/>
      <c r="AF20" s="68"/>
      <c r="AG20" s="1"/>
      <c r="AH20" s="646" t="s">
        <v>116</v>
      </c>
      <c r="AI20" s="649">
        <f>VRF!AF48/(VRF!$AC$16*VRF!$AC$17*AI19)</f>
        <v>9.7546622995839882E-2</v>
      </c>
      <c r="AJ20" s="60"/>
      <c r="AK20" s="686" t="s">
        <v>117</v>
      </c>
      <c r="AL20" s="687" t="s">
        <v>138</v>
      </c>
      <c r="AM20" s="1"/>
      <c r="AN20" s="21"/>
      <c r="AO20" s="79"/>
      <c r="AP20" s="1"/>
      <c r="AQ20" s="1"/>
      <c r="AR20" s="1"/>
      <c r="AS20" s="1"/>
      <c r="AT20" s="1"/>
    </row>
    <row r="21" spans="1:46">
      <c r="A21" s="1"/>
      <c r="B21" s="646" t="s">
        <v>318</v>
      </c>
      <c r="C21" s="650">
        <f>C7/PI()*(C20/C19)^0.5</f>
        <v>3.5585558997637719E-2</v>
      </c>
      <c r="D21" s="1"/>
      <c r="E21" s="1"/>
      <c r="F21" s="1"/>
      <c r="G21" s="1"/>
      <c r="H21" s="884" t="str">
        <f>IF($I$19&lt;=$I$20,"ATENDE","NÃO ATENDE")</f>
        <v>NÃO ATENDE</v>
      </c>
      <c r="I21" s="884"/>
      <c r="J21" s="1"/>
      <c r="K21" s="646" t="s">
        <v>311</v>
      </c>
      <c r="L21" s="669">
        <f>L7/PI()*(L20/L19)^0.5</f>
        <v>3.6353166374728921E-2</v>
      </c>
      <c r="M21" s="1"/>
      <c r="N21" s="871"/>
      <c r="O21" s="871"/>
      <c r="P21" s="1"/>
      <c r="Q21" s="871"/>
      <c r="R21" s="871"/>
      <c r="S21" s="20"/>
      <c r="T21" s="20"/>
      <c r="U21" s="1"/>
      <c r="V21" s="635"/>
      <c r="W21" s="636"/>
      <c r="X21" s="20"/>
      <c r="Y21" s="78"/>
      <c r="Z21" s="78"/>
      <c r="AA21" s="60"/>
      <c r="AB21" s="686" t="s">
        <v>117</v>
      </c>
      <c r="AC21" s="687" t="s">
        <v>138</v>
      </c>
      <c r="AD21" s="1"/>
      <c r="AE21" s="871"/>
      <c r="AF21" s="871"/>
      <c r="AG21" s="1"/>
      <c r="AH21" s="1"/>
      <c r="AI21" s="1"/>
      <c r="AJ21" s="688" t="str">
        <f>AH8</f>
        <v>CURTA</v>
      </c>
      <c r="AK21" s="684">
        <f>AI11</f>
        <v>0.10337538464340112</v>
      </c>
      <c r="AL21" s="685" t="str">
        <f>AH12</f>
        <v>ATENDE</v>
      </c>
      <c r="AM21" s="1"/>
      <c r="AN21" s="871"/>
      <c r="AO21" s="871"/>
      <c r="AP21" s="1"/>
      <c r="AQ21" s="1"/>
      <c r="AR21" s="1"/>
      <c r="AS21" s="1"/>
      <c r="AT21" s="1"/>
    </row>
    <row r="22" spans="1:46">
      <c r="A22" s="1"/>
      <c r="B22" s="647" t="s">
        <v>312</v>
      </c>
      <c r="C22" s="651">
        <v>0.2</v>
      </c>
      <c r="D22" s="1"/>
      <c r="E22" s="1"/>
      <c r="F22" s="1"/>
      <c r="G22" s="1"/>
      <c r="H22" s="21"/>
      <c r="I22" s="637"/>
      <c r="J22" s="1"/>
      <c r="K22" s="647" t="s">
        <v>312</v>
      </c>
      <c r="L22" s="670">
        <v>0.2</v>
      </c>
      <c r="M22" s="1"/>
      <c r="N22" s="78"/>
      <c r="O22" s="79"/>
      <c r="P22" s="1"/>
      <c r="Q22" s="21"/>
      <c r="R22" s="634"/>
      <c r="S22" s="21"/>
      <c r="T22" s="21"/>
      <c r="U22" s="21"/>
      <c r="V22" s="21"/>
      <c r="W22" s="21"/>
      <c r="X22" s="75"/>
      <c r="Y22" s="1"/>
      <c r="Z22" s="1"/>
      <c r="AA22" s="688" t="str">
        <f>Y8</f>
        <v>CURTA</v>
      </c>
      <c r="AB22" s="684">
        <f>Z11</f>
        <v>0.31012615393020337</v>
      </c>
      <c r="AC22" s="685" t="str">
        <f>Y12</f>
        <v>ATENDE</v>
      </c>
      <c r="AD22" s="1"/>
      <c r="AE22" s="21"/>
      <c r="AF22" s="75"/>
      <c r="AG22" s="1"/>
      <c r="AH22" s="1"/>
      <c r="AI22" s="1"/>
      <c r="AJ22" s="688" t="str">
        <f>AK8</f>
        <v>PEÇA ESBELTA</v>
      </c>
      <c r="AK22" s="660">
        <f>AL14</f>
        <v>6.0966639372399926E-2</v>
      </c>
      <c r="AL22" s="661" t="str">
        <f>AK15</f>
        <v>ATENDE ≤ 1</v>
      </c>
      <c r="AM22" s="1"/>
      <c r="AN22" s="21"/>
      <c r="AO22" s="75"/>
      <c r="AP22" s="1"/>
      <c r="AQ22" s="1"/>
      <c r="AR22" s="1"/>
      <c r="AS22" s="1"/>
      <c r="AT22" s="1"/>
    </row>
    <row r="23" spans="1:46">
      <c r="A23" s="1"/>
      <c r="B23" s="646" t="s">
        <v>319</v>
      </c>
      <c r="C23" s="652">
        <f>0.5*(1+C22*(C21-0.3)+C21^2)</f>
        <v>0.47419172190435094</v>
      </c>
      <c r="D23" s="1"/>
      <c r="E23" s="1"/>
      <c r="F23" s="1"/>
      <c r="G23" s="1"/>
      <c r="H23" s="70"/>
      <c r="I23" s="637"/>
      <c r="J23" s="1"/>
      <c r="K23" s="646" t="s">
        <v>313</v>
      </c>
      <c r="L23" s="671">
        <f>0.5*(1+L22*(L21-0.3)+L21^2)</f>
        <v>0.47429609299020725</v>
      </c>
      <c r="M23" s="1"/>
      <c r="N23" s="1"/>
      <c r="O23" s="1"/>
      <c r="P23" s="1"/>
      <c r="Q23" s="70"/>
      <c r="R23" s="76"/>
      <c r="S23" s="70"/>
      <c r="T23" s="70"/>
      <c r="U23" s="70"/>
      <c r="V23" s="1"/>
      <c r="W23" s="1"/>
      <c r="X23" s="76"/>
      <c r="Y23" s="1"/>
      <c r="Z23" s="1"/>
      <c r="AA23" s="688" t="str">
        <f>AB8</f>
        <v>PEÇA ESBELTA</v>
      </c>
      <c r="AB23" s="660">
        <f>AC14</f>
        <v>0.31555365240377914</v>
      </c>
      <c r="AC23" s="661" t="str">
        <f>AB15</f>
        <v>ATENDE ≤ 1</v>
      </c>
      <c r="AD23" s="1"/>
      <c r="AE23" s="70"/>
      <c r="AF23" s="76"/>
      <c r="AG23" s="1"/>
      <c r="AH23" s="1"/>
      <c r="AI23" s="1"/>
      <c r="AJ23" s="688"/>
      <c r="AK23" s="660"/>
      <c r="AL23" s="661"/>
      <c r="AM23" s="1"/>
      <c r="AN23" s="70"/>
      <c r="AO23" s="76"/>
      <c r="AP23" s="1"/>
      <c r="AQ23" s="1"/>
      <c r="AR23" s="1"/>
      <c r="AS23" s="1"/>
      <c r="AT23" s="1"/>
    </row>
    <row r="24" spans="1:46">
      <c r="A24" s="1"/>
      <c r="B24" s="646" t="s">
        <v>320</v>
      </c>
      <c r="C24" s="650">
        <f>1/(C23+(C23^2-C21^2)^0.5)</f>
        <v>1.0559145781148476</v>
      </c>
      <c r="D24" s="1"/>
      <c r="E24" s="1"/>
      <c r="F24" s="1"/>
      <c r="G24" s="1"/>
      <c r="H24" s="21"/>
      <c r="I24" s="637"/>
      <c r="J24" s="1"/>
      <c r="K24" s="646" t="s">
        <v>314</v>
      </c>
      <c r="L24" s="669">
        <f>1/(L23+(L23^2-L21^2)^0.5)</f>
        <v>1.0557466303209426</v>
      </c>
      <c r="M24" s="1"/>
      <c r="N24" s="1"/>
      <c r="O24" s="1"/>
      <c r="P24" s="1"/>
      <c r="Q24" s="21"/>
      <c r="R24" s="634"/>
      <c r="S24" s="21"/>
      <c r="T24" s="21"/>
      <c r="U24" s="21"/>
      <c r="V24" s="1"/>
      <c r="W24" s="1"/>
      <c r="X24" s="68"/>
      <c r="Y24" s="1"/>
      <c r="Z24" s="1"/>
      <c r="AA24" s="688"/>
      <c r="AB24" s="660"/>
      <c r="AC24" s="661"/>
      <c r="AD24" s="1"/>
      <c r="AE24" s="21"/>
      <c r="AF24" s="639"/>
      <c r="AG24" s="1"/>
      <c r="AH24" s="1"/>
      <c r="AI24" s="1"/>
      <c r="AJ24" s="688" t="s">
        <v>281</v>
      </c>
      <c r="AK24" s="660" t="s">
        <v>64</v>
      </c>
      <c r="AL24" s="661" t="s">
        <v>282</v>
      </c>
      <c r="AM24" s="1"/>
      <c r="AN24" s="21"/>
      <c r="AO24" s="79"/>
      <c r="AP24" s="1"/>
      <c r="AQ24" s="1"/>
      <c r="AR24" s="1"/>
      <c r="AS24" s="1"/>
      <c r="AT24" s="1"/>
    </row>
    <row r="25" spans="1:46" ht="15.6">
      <c r="A25" s="1"/>
      <c r="B25" s="646" t="s">
        <v>116</v>
      </c>
      <c r="C25" s="653">
        <f>VRF!M15/(VRF!$M$9*VRF!$M$10*C24)</f>
        <v>2.0587199882137686E-2</v>
      </c>
      <c r="D25" s="641"/>
      <c r="E25" s="642" t="s">
        <v>117</v>
      </c>
      <c r="F25" s="643" t="s">
        <v>138</v>
      </c>
      <c r="G25" s="1"/>
      <c r="H25" s="871"/>
      <c r="I25" s="871"/>
      <c r="J25" s="1"/>
      <c r="K25" s="646" t="s">
        <v>116</v>
      </c>
      <c r="L25" s="672">
        <f>VRF!M15/(VRF!$M$9*VRF!$M$10*L24)</f>
        <v>2.0590474886483981E-2</v>
      </c>
      <c r="M25" s="1"/>
      <c r="N25" s="1"/>
      <c r="O25" s="1"/>
      <c r="P25" s="1"/>
      <c r="Q25" s="871"/>
      <c r="R25" s="871"/>
      <c r="S25" s="20"/>
      <c r="T25" s="20"/>
      <c r="U25" s="20"/>
      <c r="V25" s="20"/>
      <c r="W25" s="20"/>
      <c r="X25" s="20"/>
      <c r="Y25" s="1"/>
      <c r="Z25" s="1"/>
      <c r="AA25" s="688" t="s">
        <v>281</v>
      </c>
      <c r="AB25" s="660" t="s">
        <v>64</v>
      </c>
      <c r="AC25" s="661" t="s">
        <v>282</v>
      </c>
      <c r="AD25" s="1"/>
      <c r="AE25" s="871"/>
      <c r="AF25" s="871"/>
      <c r="AG25" s="1"/>
      <c r="AH25" s="1"/>
      <c r="AI25" s="1"/>
      <c r="AJ25" s="1"/>
      <c r="AK25" s="1"/>
      <c r="AL25" s="1"/>
      <c r="AM25" s="1"/>
      <c r="AN25" s="871"/>
      <c r="AO25" s="871"/>
      <c r="AP25" s="1"/>
      <c r="AQ25" s="1"/>
      <c r="AR25" s="1"/>
      <c r="AS25" s="1"/>
      <c r="AT25" s="1"/>
    </row>
    <row r="26" spans="1:46">
      <c r="A26" s="1"/>
      <c r="B26" s="1"/>
      <c r="C26" s="1"/>
      <c r="D26" s="644" t="str">
        <f>B8</f>
        <v>CURTA</v>
      </c>
      <c r="E26" s="660">
        <f>C16</f>
        <v>1.3476020617359388</v>
      </c>
      <c r="F26" s="661" t="str">
        <f>B17</f>
        <v>NÃO ATENDE &gt; 1</v>
      </c>
      <c r="G26" s="1"/>
      <c r="H26" s="21"/>
      <c r="I26" s="634"/>
      <c r="J26" s="1"/>
      <c r="K26" s="1"/>
      <c r="L26" s="1"/>
      <c r="M26" s="645"/>
      <c r="N26" s="642" t="s">
        <v>117</v>
      </c>
      <c r="O26" s="643" t="s">
        <v>138</v>
      </c>
      <c r="P26" s="1"/>
      <c r="Q26" s="21"/>
      <c r="R26" s="634"/>
      <c r="S26" s="21"/>
      <c r="T26" s="21"/>
      <c r="U26" s="21"/>
      <c r="V26" s="21"/>
      <c r="W26" s="21"/>
      <c r="X26" s="77"/>
      <c r="Y26" s="1"/>
      <c r="Z26" s="1"/>
      <c r="AA26" s="1"/>
      <c r="AB26" s="1"/>
      <c r="AC26" s="1"/>
      <c r="AD26" s="1"/>
      <c r="AE26" s="21"/>
      <c r="AF26" s="634"/>
      <c r="AG26" s="1"/>
      <c r="AH26" s="1"/>
      <c r="AI26" s="1"/>
      <c r="AJ26" s="1"/>
      <c r="AK26" s="1"/>
      <c r="AL26" s="1"/>
      <c r="AM26" s="1"/>
      <c r="AN26" s="21"/>
      <c r="AO26" s="79"/>
      <c r="AP26" s="1"/>
      <c r="AQ26" s="1"/>
      <c r="AR26" s="1"/>
      <c r="AS26" s="1"/>
      <c r="AT26" s="1"/>
    </row>
    <row r="27" spans="1:46" ht="18">
      <c r="A27" s="1"/>
      <c r="B27" s="1"/>
      <c r="C27" s="1"/>
      <c r="D27" s="644" t="str">
        <f>E8</f>
        <v>PEÇA ESBELTA</v>
      </c>
      <c r="E27" s="660">
        <f>F17</f>
        <v>1.3602844699626204</v>
      </c>
      <c r="F27" s="661" t="str">
        <f>E18</f>
        <v>NÃO ATENDE &gt; 1</v>
      </c>
      <c r="G27" s="1"/>
      <c r="H27" s="871"/>
      <c r="I27" s="871"/>
      <c r="J27" s="1"/>
      <c r="K27" s="1"/>
      <c r="L27" s="1"/>
      <c r="M27" s="644" t="str">
        <f>K8</f>
        <v>CURTA</v>
      </c>
      <c r="N27" s="660">
        <f>L16</f>
        <v>1.8459169965458853E-4</v>
      </c>
      <c r="O27" s="661" t="str">
        <f>K17</f>
        <v>ATENDE ≤ 1</v>
      </c>
      <c r="P27" s="1"/>
      <c r="Q27" s="871"/>
      <c r="R27" s="871"/>
      <c r="S27" s="20"/>
      <c r="T27" s="20"/>
      <c r="U27" s="20"/>
      <c r="V27" s="20"/>
      <c r="W27" s="20"/>
      <c r="X27" s="20"/>
      <c r="Y27" s="867" t="s">
        <v>199</v>
      </c>
      <c r="Z27" s="867"/>
      <c r="AA27" s="867"/>
      <c r="AB27" s="867"/>
      <c r="AC27" s="867"/>
      <c r="AD27" s="867"/>
      <c r="AE27" s="867"/>
      <c r="AF27" s="867"/>
      <c r="AG27" s="1"/>
      <c r="AH27" s="1"/>
      <c r="AI27" s="1"/>
      <c r="AJ27" s="1"/>
      <c r="AK27" s="1"/>
      <c r="AL27" s="1"/>
      <c r="AM27" s="1"/>
      <c r="AN27" s="871"/>
      <c r="AO27" s="871"/>
      <c r="AP27" s="1"/>
      <c r="AQ27" s="1"/>
      <c r="AR27" s="1"/>
      <c r="AS27" s="1"/>
      <c r="AT27" s="1"/>
    </row>
    <row r="28" spans="1:46">
      <c r="A28" s="1"/>
      <c r="B28" s="1"/>
      <c r="C28" s="1"/>
      <c r="D28" s="644"/>
      <c r="E28" s="660"/>
      <c r="F28" s="661"/>
      <c r="G28" s="1"/>
      <c r="H28" s="78"/>
      <c r="I28" s="79"/>
      <c r="J28" s="1"/>
      <c r="K28" s="1"/>
      <c r="L28" s="1"/>
      <c r="M28" s="644" t="str">
        <f>N8</f>
        <v>PEÇA ESBELTA</v>
      </c>
      <c r="N28" s="660">
        <f>O14</f>
        <v>1.2869046804052488E-2</v>
      </c>
      <c r="O28" s="661" t="str">
        <f>N15</f>
        <v>ATENDE ≤ 1</v>
      </c>
      <c r="P28" s="1"/>
      <c r="Q28" s="78"/>
      <c r="R28" s="79"/>
      <c r="S28" s="78"/>
      <c r="T28" s="78"/>
      <c r="U28" s="78"/>
      <c r="V28" s="78"/>
      <c r="W28" s="78"/>
      <c r="X28" s="79"/>
      <c r="Y28" s="868" t="s">
        <v>198</v>
      </c>
      <c r="Z28" s="868"/>
      <c r="AA28" s="868"/>
      <c r="AB28" s="868"/>
      <c r="AC28" s="868"/>
      <c r="AD28" s="868"/>
      <c r="AE28" s="868"/>
      <c r="AF28" s="868"/>
      <c r="AG28" s="1"/>
      <c r="AH28" s="1"/>
      <c r="AI28" s="1"/>
      <c r="AJ28" s="1"/>
      <c r="AK28" s="1"/>
      <c r="AL28" s="1"/>
      <c r="AM28" s="1"/>
      <c r="AN28" s="78"/>
      <c r="AO28" s="79"/>
      <c r="AP28" s="1"/>
      <c r="AQ28" s="1"/>
      <c r="AR28" s="1"/>
      <c r="AS28" s="1"/>
      <c r="AT28" s="1"/>
    </row>
    <row r="29" spans="1:46">
      <c r="A29" s="1"/>
      <c r="B29" s="1"/>
      <c r="C29" s="1"/>
      <c r="D29" s="644" t="s">
        <v>281</v>
      </c>
      <c r="E29" s="660" t="s">
        <v>64</v>
      </c>
      <c r="F29" s="661" t="s">
        <v>282</v>
      </c>
      <c r="G29" s="1"/>
      <c r="H29" s="871"/>
      <c r="I29" s="871"/>
      <c r="J29" s="1"/>
      <c r="K29" s="1"/>
      <c r="L29" s="1"/>
      <c r="M29" s="644"/>
      <c r="N29" s="660"/>
      <c r="O29" s="661"/>
      <c r="P29" s="1"/>
      <c r="Q29" s="871"/>
      <c r="R29" s="871"/>
      <c r="S29" s="20"/>
      <c r="T29" s="20"/>
      <c r="U29" s="20"/>
      <c r="V29" s="20"/>
      <c r="W29" s="20"/>
      <c r="X29" s="20"/>
      <c r="Y29" s="603">
        <f>DSB!F36</f>
        <v>1</v>
      </c>
      <c r="Z29" s="111">
        <f>IF(Y29=0,(VRF!$AC$32/VRF!$AC$33),(VRF!$AC$32/VRF!$AC$33)/(Y29+1))</f>
        <v>127.73874705820469</v>
      </c>
      <c r="AA29" s="111" t="str">
        <f>IF(Z29&lt;=173,"ATENDE","NÃO ATENDE")</f>
        <v>ATENDE</v>
      </c>
      <c r="AB29" s="111"/>
      <c r="AC29" s="111"/>
      <c r="AD29" s="112"/>
      <c r="AE29" s="112"/>
      <c r="AF29" s="112"/>
      <c r="AG29" s="1"/>
      <c r="AH29" s="1"/>
      <c r="AI29" s="1"/>
      <c r="AJ29" s="1"/>
      <c r="AK29" s="1"/>
      <c r="AL29" s="1"/>
      <c r="AM29" s="1"/>
      <c r="AN29" s="871"/>
      <c r="AO29" s="871"/>
      <c r="AP29" s="1"/>
      <c r="AQ29" s="1"/>
      <c r="AR29" s="1"/>
      <c r="AS29" s="1"/>
      <c r="AT29" s="1"/>
    </row>
    <row r="30" spans="1:46">
      <c r="A30" s="1"/>
      <c r="B30" s="1"/>
      <c r="C30" s="1"/>
      <c r="D30" s="1"/>
      <c r="E30" s="1"/>
      <c r="F30" s="1"/>
      <c r="G30" s="1"/>
      <c r="H30" s="21"/>
      <c r="I30" s="80"/>
      <c r="J30" s="1"/>
      <c r="K30" s="1"/>
      <c r="L30" s="1"/>
      <c r="M30" s="644" t="s">
        <v>281</v>
      </c>
      <c r="N30" s="660" t="s">
        <v>64</v>
      </c>
      <c r="O30" s="661" t="s">
        <v>282</v>
      </c>
      <c r="P30" s="1"/>
      <c r="Q30" s="21"/>
      <c r="R30" s="80"/>
      <c r="S30" s="21"/>
      <c r="T30" s="21"/>
      <c r="U30" s="21"/>
      <c r="V30" s="21"/>
      <c r="W30" s="21"/>
      <c r="X30" s="80"/>
      <c r="Y30" s="111"/>
      <c r="Z30" s="111" t="str">
        <f>CONCATENATE(Y29," contenção(ões) ao longo do banzo inferior, além de 2 nas extremidades")</f>
        <v>1 contenção(ões) ao longo do banzo inferior, além de 2 nas extremidades</v>
      </c>
      <c r="AA30" s="111"/>
      <c r="AB30" s="111"/>
      <c r="AC30" s="111"/>
      <c r="AD30" s="114"/>
      <c r="AE30" s="114"/>
      <c r="AF30" s="113" t="str">
        <f>AA29</f>
        <v>ATENDE</v>
      </c>
      <c r="AG30" s="1"/>
      <c r="AH30" s="1"/>
      <c r="AI30" s="1"/>
      <c r="AJ30" s="1"/>
      <c r="AK30" s="1"/>
      <c r="AL30" s="1"/>
      <c r="AM30" s="1"/>
      <c r="AN30" s="21"/>
      <c r="AO30" s="640"/>
      <c r="AP30" s="1"/>
      <c r="AQ30" s="1"/>
      <c r="AR30" s="1"/>
      <c r="AS30" s="1"/>
      <c r="AT30" s="1"/>
    </row>
    <row r="31" spans="1:46" ht="18">
      <c r="A31" s="1"/>
      <c r="B31" s="1"/>
      <c r="C31" s="1"/>
      <c r="D31" s="1"/>
      <c r="E31" s="1"/>
      <c r="F31" s="1"/>
      <c r="G31" s="1"/>
      <c r="H31" s="78"/>
      <c r="I31" s="79"/>
      <c r="J31" s="1"/>
      <c r="K31" s="1"/>
      <c r="L31" s="1"/>
      <c r="M31" s="1"/>
      <c r="N31" s="1"/>
      <c r="O31" s="1"/>
      <c r="P31" s="1"/>
      <c r="Q31" s="78"/>
      <c r="R31" s="79"/>
      <c r="S31" s="78"/>
      <c r="T31" s="78"/>
      <c r="U31" s="78"/>
      <c r="V31" s="78"/>
      <c r="W31" s="78"/>
      <c r="X31" s="79"/>
      <c r="Y31" s="867" t="s">
        <v>200</v>
      </c>
      <c r="Z31" s="867"/>
      <c r="AA31" s="867"/>
      <c r="AB31" s="867"/>
      <c r="AC31" s="867"/>
      <c r="AD31" s="867"/>
      <c r="AE31" s="867"/>
      <c r="AF31" s="867"/>
      <c r="AG31" s="1"/>
      <c r="AH31" s="1"/>
      <c r="AI31" s="1"/>
      <c r="AJ31" s="1"/>
      <c r="AK31" s="1"/>
      <c r="AL31" s="1"/>
      <c r="AM31" s="1"/>
      <c r="AN31" s="78"/>
      <c r="AO31" s="79"/>
      <c r="AP31" s="1"/>
      <c r="AQ31" s="1"/>
      <c r="AR31" s="1"/>
      <c r="AS31" s="1"/>
      <c r="AT31" s="1"/>
    </row>
    <row r="32" spans="1:46">
      <c r="A32" s="1"/>
      <c r="B32" s="1"/>
      <c r="C32" s="1"/>
      <c r="D32" s="1"/>
      <c r="E32" s="1"/>
      <c r="F32" s="1"/>
      <c r="G32" s="1"/>
      <c r="H32" s="889"/>
      <c r="I32" s="889"/>
      <c r="J32" s="1"/>
      <c r="K32" s="1"/>
      <c r="L32" s="1"/>
      <c r="M32" s="1"/>
      <c r="N32" s="1"/>
      <c r="O32" s="1"/>
      <c r="P32" s="1"/>
      <c r="Q32" s="889"/>
      <c r="R32" s="889"/>
      <c r="S32" s="81"/>
      <c r="T32" s="81"/>
      <c r="U32" s="81"/>
      <c r="V32" s="81"/>
      <c r="W32" s="81"/>
      <c r="X32" s="81"/>
      <c r="Y32" s="876" t="s">
        <v>197</v>
      </c>
      <c r="Z32" s="876"/>
      <c r="AA32" s="876"/>
      <c r="AB32" s="876"/>
      <c r="AC32" s="876"/>
      <c r="AD32" s="876"/>
      <c r="AE32" s="876"/>
      <c r="AF32" s="876"/>
      <c r="AG32" s="1"/>
      <c r="AH32" s="1"/>
      <c r="AI32" s="1"/>
      <c r="AJ32" s="1"/>
      <c r="AK32" s="1"/>
      <c r="AL32" s="1"/>
      <c r="AM32" s="1"/>
      <c r="AN32" s="890"/>
      <c r="AO32" s="890"/>
      <c r="AP32" s="1"/>
      <c r="AQ32" s="1"/>
      <c r="AR32" s="1"/>
      <c r="AS32" s="1"/>
      <c r="AT32" s="1"/>
    </row>
    <row r="33" spans="1:46">
      <c r="A33" s="1"/>
      <c r="B33" s="1"/>
      <c r="C33" s="1"/>
      <c r="D33" s="1"/>
      <c r="E33" s="1"/>
      <c r="F33" s="1"/>
      <c r="G33" s="1"/>
      <c r="H33" s="871"/>
      <c r="I33" s="871"/>
      <c r="J33" s="1"/>
      <c r="K33" s="1"/>
      <c r="L33" s="1"/>
      <c r="M33" s="1"/>
      <c r="N33" s="1"/>
      <c r="O33" s="1"/>
      <c r="P33" s="1"/>
      <c r="Q33" s="871"/>
      <c r="R33" s="871"/>
      <c r="S33" s="20"/>
      <c r="T33" s="20"/>
      <c r="U33" s="20"/>
      <c r="V33" s="20"/>
      <c r="W33" s="20"/>
      <c r="X33" s="20"/>
      <c r="Y33" s="603">
        <v>1</v>
      </c>
      <c r="Z33" s="111">
        <f>(VRF!AC26/VRF!AC27)/Y33</f>
        <v>102.19099764656376</v>
      </c>
      <c r="AA33" s="111" t="str">
        <f>IF(Z33&lt;=173,"ATENDE","NÃO ATENDE")</f>
        <v>ATENDE</v>
      </c>
      <c r="AB33" s="111"/>
      <c r="AC33" s="111"/>
      <c r="AD33" s="112"/>
      <c r="AE33" s="112"/>
      <c r="AF33" s="112"/>
      <c r="AG33" s="1"/>
      <c r="AH33" s="1"/>
      <c r="AI33" s="1"/>
      <c r="AJ33" s="1"/>
      <c r="AK33" s="1"/>
      <c r="AL33" s="1"/>
      <c r="AM33" s="1"/>
      <c r="AN33" s="871"/>
      <c r="AO33" s="871"/>
      <c r="AP33" s="1"/>
      <c r="AQ33" s="1"/>
      <c r="AR33" s="1"/>
      <c r="AS33" s="1"/>
      <c r="AT33" s="1"/>
    </row>
    <row r="34" spans="1:46">
      <c r="A34" s="1"/>
      <c r="B34" s="1"/>
      <c r="C34" s="1"/>
      <c r="D34" s="1"/>
      <c r="E34" s="1"/>
      <c r="F34" s="1"/>
      <c r="G34" s="1"/>
      <c r="H34" s="82"/>
      <c r="I34" s="83"/>
      <c r="J34" s="1"/>
      <c r="K34" s="1"/>
      <c r="L34" s="1"/>
      <c r="M34" s="1"/>
      <c r="N34" s="1"/>
      <c r="O34" s="1"/>
      <c r="P34" s="1"/>
      <c r="Q34" s="82"/>
      <c r="R34" s="83"/>
      <c r="S34" s="82"/>
      <c r="T34" s="82"/>
      <c r="U34" s="82"/>
      <c r="V34" s="82"/>
      <c r="W34" s="82"/>
      <c r="X34" s="83"/>
      <c r="Y34" s="111"/>
      <c r="Z34" s="891"/>
      <c r="AA34" s="892"/>
      <c r="AB34" s="892"/>
      <c r="AC34" s="893"/>
      <c r="AD34" s="114"/>
      <c r="AE34" s="114"/>
      <c r="AF34" s="113" t="str">
        <f>AA33</f>
        <v>ATENDE</v>
      </c>
      <c r="AG34" s="1"/>
      <c r="AH34" s="1"/>
      <c r="AI34" s="1"/>
      <c r="AJ34" s="1"/>
      <c r="AK34" s="1"/>
      <c r="AL34" s="1"/>
      <c r="AM34" s="1"/>
      <c r="AN34" s="82"/>
      <c r="AO34" s="83"/>
      <c r="AP34" s="1"/>
      <c r="AQ34" s="1"/>
      <c r="AR34" s="1"/>
      <c r="AS34" s="1"/>
      <c r="AT34" s="1"/>
    </row>
    <row r="35" spans="1:46">
      <c r="A35" s="1"/>
      <c r="B35" s="1"/>
      <c r="C35" s="1"/>
      <c r="D35" s="1"/>
      <c r="E35" s="1"/>
      <c r="F35" s="1"/>
      <c r="G35" s="1"/>
      <c r="H35" s="894"/>
      <c r="I35" s="894"/>
      <c r="J35" s="1"/>
      <c r="K35" s="1"/>
      <c r="L35" s="1"/>
      <c r="M35" s="1"/>
      <c r="N35" s="1"/>
      <c r="O35" s="1"/>
      <c r="P35" s="1"/>
      <c r="Q35" s="894"/>
      <c r="R35" s="894"/>
      <c r="S35" s="84"/>
      <c r="T35" s="84"/>
      <c r="U35" s="84"/>
      <c r="V35" s="84"/>
      <c r="W35" s="84"/>
      <c r="X35" s="84"/>
      <c r="Y35" s="876" t="s">
        <v>286</v>
      </c>
      <c r="Z35" s="876"/>
      <c r="AA35" s="876"/>
      <c r="AB35" s="876"/>
      <c r="AC35" s="876"/>
      <c r="AD35" s="876"/>
      <c r="AE35" s="876"/>
      <c r="AF35" s="876"/>
      <c r="AG35" s="1"/>
      <c r="AH35" s="1"/>
      <c r="AI35" s="1"/>
      <c r="AJ35" s="1"/>
      <c r="AK35" s="1"/>
      <c r="AL35" s="1"/>
      <c r="AM35" s="1"/>
      <c r="AN35" s="888"/>
      <c r="AO35" s="888"/>
      <c r="AP35" s="1"/>
      <c r="AQ35" s="1"/>
      <c r="AR35" s="1"/>
      <c r="AS35" s="1"/>
      <c r="AT35" s="1"/>
    </row>
    <row r="36" spans="1:4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603">
        <v>1</v>
      </c>
      <c r="Z36" s="111">
        <f>(VRF!AF26/VRF!AF27)/Y36</f>
        <v>38.538130468407516</v>
      </c>
      <c r="AA36" s="111" t="str">
        <f>IF(Z36&lt;=173,"ATENDE","NÃO ATENDE")</f>
        <v>ATENDE</v>
      </c>
      <c r="AB36" s="111"/>
      <c r="AC36" s="111"/>
      <c r="AD36" s="112"/>
      <c r="AE36" s="112"/>
      <c r="AF36" s="11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11"/>
      <c r="Z37" s="891"/>
      <c r="AA37" s="892"/>
      <c r="AB37" s="892"/>
      <c r="AC37" s="893"/>
      <c r="AD37" s="114"/>
      <c r="AE37" s="114"/>
      <c r="AF37" s="113" t="str">
        <f>AA36</f>
        <v>ATENDE</v>
      </c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621"/>
      <c r="Z38" s="621"/>
      <c r="AA38" s="621"/>
      <c r="AB38" s="621"/>
      <c r="AC38" s="621"/>
      <c r="AD38" s="621"/>
      <c r="AE38" s="621"/>
      <c r="AF38" s="62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867" t="s">
        <v>199</v>
      </c>
      <c r="Z39" s="867"/>
      <c r="AA39" s="867"/>
      <c r="AB39" s="867"/>
      <c r="AC39" s="867"/>
      <c r="AD39" s="867"/>
      <c r="AE39" s="867"/>
      <c r="AF39" s="867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868" t="s">
        <v>198</v>
      </c>
      <c r="Z40" s="868"/>
      <c r="AA40" s="868"/>
      <c r="AB40" s="868"/>
      <c r="AC40" s="868"/>
      <c r="AD40" s="868"/>
      <c r="AE40" s="868"/>
      <c r="AF40" s="868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603">
        <f>DSB!I36</f>
        <v>1</v>
      </c>
      <c r="Z41" s="111">
        <f>IF(Y41=0,(VRF!AC63/VRF!AC64),(VRF!AC63/VRF!AC64)/(Y41+1))</f>
        <v>66.712770516595995</v>
      </c>
      <c r="AA41" s="111" t="str">
        <f>IF(Z41&lt;=173,"ATENDE","NÃO ATENDE")</f>
        <v>ATENDE</v>
      </c>
      <c r="AB41" s="111"/>
      <c r="AC41" s="111"/>
      <c r="AD41" s="112"/>
      <c r="AE41" s="112"/>
      <c r="AF41" s="112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11"/>
      <c r="Z42" s="111" t="str">
        <f>CONCATENATE(Y41," contenção(ões) ao longo do banzo superior além de 2 nas extremidades")</f>
        <v>1 contenção(ões) ao longo do banzo superior além de 2 nas extremidades</v>
      </c>
      <c r="AA42" s="111"/>
      <c r="AB42" s="111"/>
      <c r="AC42" s="111"/>
      <c r="AD42" s="114"/>
      <c r="AE42" s="114"/>
      <c r="AF42" s="113" t="str">
        <f>AA41</f>
        <v>ATENDE</v>
      </c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>
      <c r="A46" s="1"/>
      <c r="B46" s="69"/>
      <c r="C46" s="69"/>
      <c r="D46" s="69"/>
      <c r="E46" s="69"/>
      <c r="F46" s="69"/>
      <c r="G46" s="6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>
      <c r="A47" s="1"/>
      <c r="B47" s="69"/>
      <c r="C47" s="69"/>
      <c r="D47" s="69"/>
      <c r="E47" s="69"/>
      <c r="F47" s="69"/>
      <c r="G47" s="6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>
      <c r="A48" s="1"/>
      <c r="B48" s="69"/>
      <c r="C48" s="69"/>
      <c r="D48" s="69"/>
      <c r="E48" s="69"/>
      <c r="F48" s="69"/>
      <c r="G48" s="69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20"/>
      <c r="AM48" s="1"/>
      <c r="AN48" s="1"/>
      <c r="AO48" s="1"/>
      <c r="AP48" s="1"/>
      <c r="AQ48" s="1"/>
      <c r="AR48" s="1"/>
      <c r="AS48" s="1"/>
      <c r="AT48" s="1"/>
    </row>
    <row r="49" spans="1:46">
      <c r="A49" s="1"/>
      <c r="B49" s="69"/>
      <c r="C49" s="69"/>
      <c r="D49" s="69"/>
      <c r="E49" s="69"/>
      <c r="F49" s="69"/>
      <c r="G49" s="6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20"/>
      <c r="AM49" s="1"/>
      <c r="AN49" s="1"/>
      <c r="AO49" s="1"/>
      <c r="AP49" s="1"/>
      <c r="AQ49" s="1"/>
      <c r="AR49" s="1"/>
      <c r="AS49" s="1"/>
      <c r="AT49" s="1"/>
    </row>
    <row r="50" spans="1:46">
      <c r="A50" s="1"/>
      <c r="B50" s="69"/>
      <c r="C50" s="69"/>
      <c r="D50" s="69"/>
      <c r="E50" s="69"/>
      <c r="F50" s="69"/>
      <c r="G50" s="69"/>
      <c r="H50" s="69"/>
      <c r="I50" s="6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20"/>
      <c r="AM50" s="1"/>
      <c r="AN50" s="1"/>
      <c r="AO50" s="1"/>
      <c r="AP50" s="1"/>
      <c r="AQ50" s="1"/>
      <c r="AR50" s="1"/>
      <c r="AS50" s="1"/>
      <c r="AT50" s="1"/>
    </row>
    <row r="51" spans="1:46">
      <c r="A51" s="1"/>
      <c r="B51" s="69"/>
      <c r="C51" s="69"/>
      <c r="D51" s="69"/>
      <c r="E51" s="69"/>
      <c r="F51" s="69"/>
      <c r="G51" s="69"/>
      <c r="H51" s="69"/>
      <c r="I51" s="6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20"/>
      <c r="AM51" s="1"/>
      <c r="AN51" s="1"/>
      <c r="AO51" s="1"/>
      <c r="AP51" s="1"/>
      <c r="AQ51" s="1"/>
      <c r="AR51" s="1"/>
      <c r="AS51" s="1"/>
      <c r="AT51" s="1"/>
    </row>
    <row r="52" spans="1:46">
      <c r="A52" s="1"/>
      <c r="B52" s="69"/>
      <c r="C52" s="69"/>
      <c r="D52" s="69"/>
      <c r="E52" s="69"/>
      <c r="F52" s="69"/>
      <c r="G52" s="69"/>
      <c r="H52" s="69"/>
      <c r="I52" s="6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>
      <c r="A53" s="1"/>
      <c r="B53" s="69"/>
      <c r="C53" s="69"/>
      <c r="D53" s="69"/>
      <c r="E53" s="69"/>
      <c r="F53" s="69"/>
      <c r="G53" s="69"/>
      <c r="H53" s="69"/>
      <c r="I53" s="6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>
      <c r="A54" s="1"/>
      <c r="B54" s="69"/>
      <c r="C54" s="69"/>
      <c r="D54" s="69"/>
      <c r="E54" s="69"/>
      <c r="F54" s="69"/>
      <c r="G54" s="69"/>
      <c r="H54" s="69"/>
      <c r="I54" s="6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>
      <c r="A55" s="1"/>
      <c r="B55" s="69"/>
      <c r="C55" s="69"/>
      <c r="D55" s="69"/>
      <c r="E55" s="69"/>
      <c r="F55" s="69"/>
      <c r="G55" s="69"/>
      <c r="H55" s="69"/>
      <c r="I55" s="6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>
      <c r="A56" s="1"/>
      <c r="B56" s="69"/>
      <c r="C56" s="69"/>
      <c r="D56" s="69"/>
      <c r="E56" s="69"/>
      <c r="F56" s="69"/>
      <c r="G56" s="69"/>
      <c r="H56" s="69"/>
      <c r="I56" s="6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>
      <c r="A57" s="1"/>
      <c r="B57" s="69"/>
      <c r="C57" s="69"/>
      <c r="D57" s="69"/>
      <c r="E57" s="69"/>
      <c r="F57" s="69"/>
      <c r="G57" s="69"/>
      <c r="H57" s="69"/>
      <c r="I57" s="6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>
      <c r="A58" s="1"/>
      <c r="B58" s="69"/>
      <c r="C58" s="69"/>
      <c r="D58" s="69"/>
      <c r="E58" s="69"/>
      <c r="F58" s="69"/>
      <c r="G58" s="69"/>
      <c r="H58" s="69"/>
      <c r="I58" s="6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>
      <c r="A59" s="1"/>
      <c r="B59" s="69"/>
      <c r="C59" s="69"/>
      <c r="D59" s="69"/>
      <c r="E59" s="69"/>
      <c r="F59" s="69"/>
      <c r="G59" s="69"/>
      <c r="H59" s="69"/>
      <c r="I59" s="6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>
      <c r="A60" s="1"/>
      <c r="B60" s="69"/>
      <c r="C60" s="69"/>
      <c r="D60" s="69"/>
      <c r="E60" s="69"/>
      <c r="F60" s="69"/>
      <c r="G60" s="69"/>
      <c r="H60" s="69"/>
      <c r="I60" s="6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1"/>
      <c r="B61" s="69"/>
      <c r="C61" s="69"/>
      <c r="D61" s="69"/>
      <c r="E61" s="69"/>
      <c r="F61" s="69"/>
      <c r="G61" s="69"/>
      <c r="H61" s="69"/>
      <c r="I61" s="6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>
      <c r="A62" s="1"/>
      <c r="B62" s="69"/>
      <c r="C62" s="69"/>
      <c r="D62" s="69"/>
      <c r="E62" s="69"/>
      <c r="F62" s="69"/>
      <c r="G62" s="69"/>
      <c r="H62" s="69"/>
      <c r="I62" s="6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15" customHeight="1">
      <c r="A63" s="1"/>
      <c r="B63" s="69"/>
      <c r="C63" s="69"/>
      <c r="D63" s="69"/>
      <c r="E63" s="69"/>
      <c r="F63" s="69"/>
      <c r="G63" s="69"/>
      <c r="H63" s="69"/>
      <c r="I63" s="6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81"/>
      <c r="AA63" s="81"/>
      <c r="AB63" s="81"/>
      <c r="AC63" s="81"/>
      <c r="AD63" s="81"/>
      <c r="AE63" s="81"/>
      <c r="AF63" s="8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>
      <c r="A64" s="1"/>
      <c r="B64" s="69"/>
      <c r="C64" s="69"/>
      <c r="D64" s="69"/>
      <c r="E64" s="69"/>
      <c r="F64" s="69"/>
      <c r="G64" s="69"/>
      <c r="H64" s="69"/>
      <c r="I64" s="6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81"/>
      <c r="AA64" s="81"/>
      <c r="AB64" s="81"/>
      <c r="AC64" s="81"/>
      <c r="AD64" s="81"/>
      <c r="AE64" s="81"/>
      <c r="AF64" s="8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>
      <c r="A65" s="1"/>
      <c r="B65" s="69"/>
      <c r="C65" s="69"/>
      <c r="D65" s="69"/>
      <c r="E65" s="69"/>
      <c r="F65" s="69"/>
      <c r="G65" s="69"/>
      <c r="H65" s="69"/>
      <c r="I65" s="6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81"/>
      <c r="AA65" s="81"/>
      <c r="AB65" s="81"/>
      <c r="AC65" s="81"/>
      <c r="AD65" s="81"/>
      <c r="AE65" s="81"/>
      <c r="AF65" s="8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>
      <c r="A66" s="1"/>
      <c r="B66" s="69"/>
      <c r="C66" s="69"/>
      <c r="D66" s="69"/>
      <c r="E66" s="69"/>
      <c r="F66" s="69"/>
      <c r="G66" s="69"/>
      <c r="H66" s="69"/>
      <c r="I66" s="6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81"/>
      <c r="AA66" s="81"/>
      <c r="AB66" s="81"/>
      <c r="AC66" s="81"/>
      <c r="AD66" s="81"/>
      <c r="AE66" s="81"/>
      <c r="AF66" s="8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>
      <c r="A67" s="1"/>
      <c r="B67" s="69"/>
      <c r="C67" s="69"/>
      <c r="D67" s="69"/>
      <c r="E67" s="69"/>
      <c r="F67" s="69"/>
      <c r="G67" s="69"/>
      <c r="H67" s="69"/>
      <c r="I67" s="6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81"/>
      <c r="AA67" s="81"/>
      <c r="AB67" s="81"/>
      <c r="AC67" s="81"/>
      <c r="AD67" s="81"/>
      <c r="AE67" s="81"/>
      <c r="AF67" s="8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5" customHeight="1">
      <c r="A68" s="1"/>
      <c r="B68" s="69"/>
      <c r="C68" s="69"/>
      <c r="D68" s="69"/>
      <c r="E68" s="69"/>
      <c r="F68" s="69"/>
      <c r="G68" s="69"/>
      <c r="H68" s="69"/>
      <c r="I68" s="6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81"/>
      <c r="AA68" s="81"/>
      <c r="AB68" s="81"/>
      <c r="AC68" s="81"/>
      <c r="AD68" s="81"/>
      <c r="AE68" s="81"/>
      <c r="AF68" s="8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>
      <c r="A69" s="1"/>
      <c r="B69" s="69"/>
      <c r="C69" s="69"/>
      <c r="D69" s="69"/>
      <c r="E69" s="69"/>
      <c r="F69" s="69"/>
      <c r="G69" s="69"/>
      <c r="H69" s="69"/>
      <c r="I69" s="6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81"/>
      <c r="AA69" s="81"/>
      <c r="AB69" s="81"/>
      <c r="AC69" s="81"/>
      <c r="AD69" s="81"/>
      <c r="AE69" s="81"/>
      <c r="AF69" s="8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>
      <c r="A70" s="1"/>
      <c r="B70" s="69"/>
      <c r="C70" s="69"/>
      <c r="D70" s="69"/>
      <c r="E70" s="69"/>
      <c r="F70" s="69"/>
      <c r="G70" s="69"/>
      <c r="H70" s="69"/>
      <c r="I70" s="6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81"/>
      <c r="AA70" s="81"/>
      <c r="AB70" s="81"/>
      <c r="AC70" s="81"/>
      <c r="AD70" s="81"/>
      <c r="AE70" s="81"/>
      <c r="AF70" s="8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>
      <c r="A71" s="1"/>
      <c r="B71" s="69"/>
      <c r="C71" s="69"/>
      <c r="D71" s="69"/>
      <c r="E71" s="69"/>
      <c r="F71" s="69"/>
      <c r="G71" s="69"/>
      <c r="H71" s="69"/>
      <c r="I71" s="6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81"/>
      <c r="AA71" s="81"/>
      <c r="AB71" s="81"/>
      <c r="AC71" s="81"/>
      <c r="AD71" s="81"/>
      <c r="AE71" s="81"/>
      <c r="AF71" s="8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>
      <c r="A72" s="1"/>
      <c r="B72" s="69"/>
      <c r="C72" s="69"/>
      <c r="D72" s="69"/>
      <c r="E72" s="69"/>
      <c r="F72" s="69"/>
      <c r="G72" s="69"/>
      <c r="H72" s="69"/>
      <c r="I72" s="6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81"/>
      <c r="AA72" s="81"/>
      <c r="AB72" s="81"/>
      <c r="AC72" s="81"/>
      <c r="AD72" s="81"/>
      <c r="AE72" s="81"/>
      <c r="AF72" s="8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>
      <c r="A73" s="1"/>
      <c r="B73" s="69"/>
      <c r="C73" s="69"/>
      <c r="D73" s="69"/>
      <c r="E73" s="69"/>
      <c r="F73" s="69"/>
      <c r="G73" s="69"/>
      <c r="H73" s="69"/>
      <c r="I73" s="6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81"/>
      <c r="AA73" s="81"/>
      <c r="AB73" s="81"/>
      <c r="AC73" s="81"/>
      <c r="AD73" s="81"/>
      <c r="AE73" s="81"/>
      <c r="AF73" s="8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>
      <c r="A74" s="1"/>
      <c r="B74" s="69"/>
      <c r="C74" s="69"/>
      <c r="D74" s="69"/>
      <c r="E74" s="69"/>
      <c r="F74" s="69"/>
      <c r="G74" s="69"/>
      <c r="H74" s="69"/>
      <c r="I74" s="6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61"/>
      <c r="Z74" s="81"/>
      <c r="AA74" s="81"/>
      <c r="AB74" s="81"/>
      <c r="AC74" s="81"/>
      <c r="AD74" s="81"/>
      <c r="AE74" s="81"/>
      <c r="AF74" s="8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15" customHeight="1">
      <c r="A75" s="1"/>
      <c r="B75" s="69"/>
      <c r="C75" s="69"/>
      <c r="D75" s="69"/>
      <c r="E75" s="69"/>
      <c r="F75" s="69"/>
      <c r="G75" s="69"/>
      <c r="H75" s="69"/>
      <c r="I75" s="6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61"/>
      <c r="Z75" s="81"/>
      <c r="AA75" s="81"/>
      <c r="AB75" s="81"/>
      <c r="AC75" s="81"/>
      <c r="AD75" s="81"/>
      <c r="AE75" s="81"/>
      <c r="AF75" s="8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>
      <c r="A76" s="1"/>
      <c r="B76" s="69"/>
      <c r="C76" s="69"/>
      <c r="D76" s="69"/>
      <c r="E76" s="69"/>
      <c r="F76" s="69"/>
      <c r="G76" s="69"/>
      <c r="H76" s="69"/>
      <c r="I76" s="6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81"/>
      <c r="AA76" s="81"/>
      <c r="AB76" s="81"/>
      <c r="AC76" s="81"/>
      <c r="AD76" s="81"/>
      <c r="AE76" s="81"/>
      <c r="AF76" s="8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>
      <c r="A77" s="1"/>
      <c r="B77" s="69"/>
      <c r="C77" s="69"/>
      <c r="D77" s="69"/>
      <c r="E77" s="69"/>
      <c r="F77" s="69"/>
      <c r="G77" s="69"/>
      <c r="H77" s="69"/>
      <c r="I77" s="6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81"/>
      <c r="AA77" s="81"/>
      <c r="AB77" s="81"/>
      <c r="AC77" s="81"/>
      <c r="AD77" s="81"/>
      <c r="AE77" s="81"/>
      <c r="AF77" s="8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>
      <c r="A78" s="1"/>
      <c r="B78" s="69"/>
      <c r="C78" s="69"/>
      <c r="D78" s="69"/>
      <c r="E78" s="69"/>
      <c r="F78" s="69"/>
      <c r="G78" s="69"/>
      <c r="H78" s="69"/>
      <c r="I78" s="6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61"/>
      <c r="Z78" s="81"/>
      <c r="AA78" s="81"/>
      <c r="AB78" s="81"/>
      <c r="AC78" s="81"/>
      <c r="AD78" s="81"/>
      <c r="AE78" s="81"/>
      <c r="AF78" s="8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>
      <c r="A79" s="1"/>
      <c r="B79" s="69"/>
      <c r="C79" s="69"/>
      <c r="D79" s="69"/>
      <c r="E79" s="69"/>
      <c r="F79" s="69"/>
      <c r="G79" s="69"/>
      <c r="H79" s="69"/>
      <c r="I79" s="6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61"/>
      <c r="Z79" s="81"/>
      <c r="AA79" s="81"/>
      <c r="AB79" s="81"/>
      <c r="AC79" s="81"/>
      <c r="AD79" s="81"/>
      <c r="AE79" s="81"/>
      <c r="AF79" s="8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>
      <c r="A80" s="1"/>
      <c r="B80" s="69"/>
      <c r="C80" s="69"/>
      <c r="D80" s="69"/>
      <c r="E80" s="69"/>
      <c r="F80" s="69"/>
      <c r="G80" s="69"/>
      <c r="H80" s="69"/>
      <c r="I80" s="6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81"/>
      <c r="AA80" s="81"/>
      <c r="AB80" s="81"/>
      <c r="AC80" s="81"/>
      <c r="AD80" s="81"/>
      <c r="AE80" s="81"/>
      <c r="AF80" s="8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>
      <c r="A81" s="1"/>
      <c r="B81" s="69"/>
      <c r="C81" s="69"/>
      <c r="D81" s="69"/>
      <c r="E81" s="69"/>
      <c r="F81" s="69"/>
      <c r="G81" s="69"/>
      <c r="H81" s="69"/>
      <c r="I81" s="6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81"/>
      <c r="AA81" s="81"/>
      <c r="AB81" s="81"/>
      <c r="AC81" s="81"/>
      <c r="AD81" s="81"/>
      <c r="AE81" s="81"/>
      <c r="AF81" s="8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81"/>
      <c r="AA82" s="81"/>
      <c r="AB82" s="81"/>
      <c r="AC82" s="81"/>
      <c r="AD82" s="81"/>
      <c r="AE82" s="81"/>
      <c r="AF82" s="8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81"/>
      <c r="AA83" s="81"/>
      <c r="AB83" s="81"/>
      <c r="AC83" s="81"/>
      <c r="AD83" s="81"/>
      <c r="AE83" s="81"/>
      <c r="AF83" s="8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81"/>
      <c r="AA84" s="81"/>
      <c r="AB84" s="81"/>
      <c r="AC84" s="81"/>
      <c r="AD84" s="81"/>
      <c r="AE84" s="81"/>
      <c r="AF84" s="8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</sheetData>
  <sheetProtection algorithmName="SHA-512" hashValue="ZdcrTbucn6lCkRlnySV+HMWh8/N6usi4b7PwOnT56ryyxLuVPENUZP2izsdDPE/zd8QPGaGOWb8MVsc0YFsD6g==" saltValue="oX4SMJvyjUC9O+wVTXB9eg==" spinCount="100000" sheet="1" objects="1" scenarios="1" selectLockedCells="1"/>
  <mergeCells count="124">
    <mergeCell ref="Z37:AC37"/>
    <mergeCell ref="H35:I35"/>
    <mergeCell ref="Q35:R35"/>
    <mergeCell ref="H6:I6"/>
    <mergeCell ref="Y27:AF27"/>
    <mergeCell ref="N17:O17"/>
    <mergeCell ref="Q17:R17"/>
    <mergeCell ref="AB17:AC17"/>
    <mergeCell ref="AE17:AF17"/>
    <mergeCell ref="H11:I11"/>
    <mergeCell ref="T11:W11"/>
    <mergeCell ref="U7:U9"/>
    <mergeCell ref="H27:I27"/>
    <mergeCell ref="N13:O13"/>
    <mergeCell ref="Q27:R27"/>
    <mergeCell ref="AB13:AC13"/>
    <mergeCell ref="AE9:AF9"/>
    <mergeCell ref="AN35:AO35"/>
    <mergeCell ref="AN29:AO29"/>
    <mergeCell ref="H32:I32"/>
    <mergeCell ref="Q32:R32"/>
    <mergeCell ref="AN32:AO32"/>
    <mergeCell ref="H33:I33"/>
    <mergeCell ref="Q33:R33"/>
    <mergeCell ref="AN33:AO33"/>
    <mergeCell ref="Y28:AF28"/>
    <mergeCell ref="Y31:AF31"/>
    <mergeCell ref="Y32:AF32"/>
    <mergeCell ref="Z34:AC34"/>
    <mergeCell ref="Y35:AF35"/>
    <mergeCell ref="AN27:AO27"/>
    <mergeCell ref="E18:F18"/>
    <mergeCell ref="H29:I29"/>
    <mergeCell ref="N15:O15"/>
    <mergeCell ref="Q29:R29"/>
    <mergeCell ref="AB15:AC15"/>
    <mergeCell ref="AK15:AL15"/>
    <mergeCell ref="H25:I25"/>
    <mergeCell ref="Q25:R25"/>
    <mergeCell ref="AE25:AF25"/>
    <mergeCell ref="AK19:AL19"/>
    <mergeCell ref="AN19:AO19"/>
    <mergeCell ref="AN25:AO25"/>
    <mergeCell ref="AN13:AO13"/>
    <mergeCell ref="T16:W16"/>
    <mergeCell ref="E10:F10"/>
    <mergeCell ref="H21:I21"/>
    <mergeCell ref="N21:O21"/>
    <mergeCell ref="Q21:R21"/>
    <mergeCell ref="AE21:AF21"/>
    <mergeCell ref="AN21:AO21"/>
    <mergeCell ref="E19:F19"/>
    <mergeCell ref="N19:O19"/>
    <mergeCell ref="Q19:R19"/>
    <mergeCell ref="AB19:AC19"/>
    <mergeCell ref="AE19:AF19"/>
    <mergeCell ref="E15:F15"/>
    <mergeCell ref="N12:O12"/>
    <mergeCell ref="AB12:AC12"/>
    <mergeCell ref="AK12:AL12"/>
    <mergeCell ref="E16:F16"/>
    <mergeCell ref="AN17:AO17"/>
    <mergeCell ref="AK13:AL13"/>
    <mergeCell ref="H18:I18"/>
    <mergeCell ref="B12:C12"/>
    <mergeCell ref="K12:L12"/>
    <mergeCell ref="Y12:Z12"/>
    <mergeCell ref="AH12:AI12"/>
    <mergeCell ref="B13:C13"/>
    <mergeCell ref="K13:L13"/>
    <mergeCell ref="H12:I12"/>
    <mergeCell ref="U13:U15"/>
    <mergeCell ref="AK17:AL17"/>
    <mergeCell ref="E12:F12"/>
    <mergeCell ref="B15:C15"/>
    <mergeCell ref="K15:L15"/>
    <mergeCell ref="B17:C17"/>
    <mergeCell ref="H17:I17"/>
    <mergeCell ref="K17:L17"/>
    <mergeCell ref="Q13:R13"/>
    <mergeCell ref="AE13:AF13"/>
    <mergeCell ref="AN9:AO9"/>
    <mergeCell ref="AH8:AI8"/>
    <mergeCell ref="AK8:AL8"/>
    <mergeCell ref="AN8:AO8"/>
    <mergeCell ref="B9:C9"/>
    <mergeCell ref="K9:L9"/>
    <mergeCell ref="Q9:R9"/>
    <mergeCell ref="Y9:Z9"/>
    <mergeCell ref="B8:C8"/>
    <mergeCell ref="E8:F8"/>
    <mergeCell ref="K8:L8"/>
    <mergeCell ref="N8:O8"/>
    <mergeCell ref="Q8:R8"/>
    <mergeCell ref="Y8:Z8"/>
    <mergeCell ref="AB8:AC8"/>
    <mergeCell ref="AE8:AF8"/>
    <mergeCell ref="N9:O9"/>
    <mergeCell ref="AB9:AC9"/>
    <mergeCell ref="AK9:AL9"/>
    <mergeCell ref="Y39:AF39"/>
    <mergeCell ref="Y40:AF40"/>
    <mergeCell ref="B3:R3"/>
    <mergeCell ref="U3:V3"/>
    <mergeCell ref="Y3:AO3"/>
    <mergeCell ref="B4:I4"/>
    <mergeCell ref="K4:R4"/>
    <mergeCell ref="U4:V4"/>
    <mergeCell ref="Y4:AF4"/>
    <mergeCell ref="AH4:AO4"/>
    <mergeCell ref="AN5:AO5"/>
    <mergeCell ref="Y5:Z5"/>
    <mergeCell ref="AB5:AC5"/>
    <mergeCell ref="AE5:AF5"/>
    <mergeCell ref="AH5:AI5"/>
    <mergeCell ref="AK5:AL5"/>
    <mergeCell ref="B5:C5"/>
    <mergeCell ref="E5:F5"/>
    <mergeCell ref="H5:I5"/>
    <mergeCell ref="K5:L5"/>
    <mergeCell ref="N5:O5"/>
    <mergeCell ref="Q5:R5"/>
    <mergeCell ref="T5:W5"/>
    <mergeCell ref="AH9:AI9"/>
  </mergeCells>
  <conditionalFormatting sqref="B8 E8 K8 N8 Q8 Y8 AB8 AE8 AH8 AK8 AN8 AJ21:AJ24 AA22:AA25 D26:D29 M27:M30">
    <cfRule type="containsText" dxfId="22" priority="9" operator="containsText" text="PEÇA ESBELTA">
      <formula>NOT(ISERROR(SEARCH("PEÇA ESBELTA",B8)))</formula>
    </cfRule>
    <cfRule type="containsText" dxfId="21" priority="10" operator="containsText" text="MEDIANAMENTE">
      <formula>NOT(ISERROR(SEARCH("MEDIANAMENTE",B8)))</formula>
    </cfRule>
    <cfRule type="containsText" dxfId="20" priority="11" operator="containsText" text="CURTA">
      <formula>NOT(ISERROR(SEARCH("CURTA",B8)))</formula>
    </cfRule>
  </conditionalFormatting>
  <conditionalFormatting sqref="B12 K12 N12 Y12 AB12 AK12 E15 N15 AB15 AK15 B17 K17 E18 AL21:AL24 AC22:AC25 F26:F29 O27:O30 AA29 AD30:AF30 H32 Q32 AN32 AA33 AD34:AF34 H35 Q35 AN35 AA36 AD37:AF37">
    <cfRule type="containsText" dxfId="19" priority="12" operator="containsText" text="NÃO">
      <formula>NOT(ISERROR(SEARCH("NÃO",B12)))</formula>
    </cfRule>
    <cfRule type="containsText" dxfId="18" priority="13" operator="containsText" text="ATENDE">
      <formula>NOT(ISERROR(SEARCH("ATENDE",B12)))</formula>
    </cfRule>
  </conditionalFormatting>
  <conditionalFormatting sqref="H11">
    <cfRule type="containsText" dxfId="17" priority="7" operator="containsText" text="NÃO">
      <formula>NOT(ISERROR(SEARCH("NÃO",H11)))</formula>
    </cfRule>
    <cfRule type="containsText" dxfId="16" priority="8" operator="containsText" text="ATENDE">
      <formula>NOT(ISERROR(SEARCH("ATENDE",H11)))</formula>
    </cfRule>
  </conditionalFormatting>
  <conditionalFormatting sqref="H17">
    <cfRule type="containsText" dxfId="15" priority="5" operator="containsText" text="NÃO">
      <formula>NOT(ISERROR(SEARCH("NÃO",H17)))</formula>
    </cfRule>
    <cfRule type="containsText" dxfId="14" priority="6" operator="containsText" text="ATENDE">
      <formula>NOT(ISERROR(SEARCH("ATENDE",H17)))</formula>
    </cfRule>
  </conditionalFormatting>
  <conditionalFormatting sqref="H21">
    <cfRule type="containsText" dxfId="13" priority="3" operator="containsText" text="NÃO">
      <formula>NOT(ISERROR(SEARCH("NÃO",H21)))</formula>
    </cfRule>
    <cfRule type="containsText" dxfId="12" priority="4" operator="containsText" text="ATENDE">
      <formula>NOT(ISERROR(SEARCH("ATENDE",H21)))</formula>
    </cfRule>
  </conditionalFormatting>
  <conditionalFormatting sqref="AA41 AD42:AF42">
    <cfRule type="containsText" dxfId="11" priority="1" operator="containsText" text="NÃO">
      <formula>NOT(ISERROR(SEARCH("NÃO",AA41)))</formula>
    </cfRule>
    <cfRule type="containsText" dxfId="10" priority="2" operator="containsText" text="ATENDE">
      <formula>NOT(ISERROR(SEARCH("ATENDE",AA41)))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26F9-EB16-4C1F-9096-CF2ED4DE5D56}">
  <sheetPr>
    <tabColor rgb="FF152C3B"/>
  </sheetPr>
  <dimension ref="A1:BB162"/>
  <sheetViews>
    <sheetView topLeftCell="L1" zoomScale="77" zoomScaleNormal="130" workbookViewId="0">
      <selection activeCell="Y12" sqref="Y12"/>
    </sheetView>
  </sheetViews>
  <sheetFormatPr defaultRowHeight="14.4"/>
  <cols>
    <col min="6" max="6" width="11.33203125" bestFit="1" customWidth="1"/>
    <col min="7" max="7" width="27.88671875" customWidth="1"/>
    <col min="8" max="8" width="14" bestFit="1" customWidth="1"/>
    <col min="9" max="9" width="9.44140625" bestFit="1" customWidth="1"/>
    <col min="10" max="10" width="9.6640625" bestFit="1" customWidth="1"/>
    <col min="11" max="11" width="9.44140625" bestFit="1" customWidth="1"/>
    <col min="12" max="12" width="32.88671875" customWidth="1"/>
    <col min="13" max="13" width="10.33203125" bestFit="1" customWidth="1"/>
    <col min="14" max="14" width="7.5546875" bestFit="1" customWidth="1"/>
    <col min="15" max="15" width="10.33203125" bestFit="1" customWidth="1"/>
    <col min="16" max="16" width="7.5546875" bestFit="1" customWidth="1"/>
    <col min="17" max="17" width="19.5546875" customWidth="1"/>
    <col min="18" max="18" width="10" customWidth="1"/>
    <col min="19" max="19" width="18.33203125" bestFit="1" customWidth="1"/>
    <col min="20" max="20" width="12.88671875" bestFit="1" customWidth="1"/>
    <col min="21" max="21" width="12.44140625" bestFit="1" customWidth="1"/>
    <col min="25" max="25" width="15.44140625" bestFit="1" customWidth="1"/>
    <col min="26" max="26" width="13.44140625" bestFit="1" customWidth="1"/>
    <col min="27" max="27" width="16.44140625" bestFit="1" customWidth="1"/>
    <col min="28" max="28" width="13.109375" bestFit="1" customWidth="1"/>
    <col min="29" max="29" width="9.33203125" bestFit="1" customWidth="1"/>
    <col min="32" max="32" width="32.33203125" customWidth="1"/>
    <col min="34" max="34" width="32.33203125" customWidth="1"/>
    <col min="36" max="36" width="32.33203125" customWidth="1"/>
    <col min="38" max="38" width="32.33203125" customWidth="1"/>
  </cols>
  <sheetData>
    <row r="1" spans="1:5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896" t="s">
        <v>238</v>
      </c>
      <c r="Z1" s="896"/>
      <c r="AA1" s="611"/>
      <c r="AB1" s="1"/>
      <c r="AC1" s="1"/>
      <c r="AD1" s="1"/>
      <c r="AE1" s="20"/>
      <c r="AF1" s="602"/>
      <c r="AG1" s="602"/>
      <c r="AH1" s="602"/>
      <c r="AI1" s="602"/>
      <c r="AJ1" s="602"/>
      <c r="AK1" s="602"/>
      <c r="AL1" s="602"/>
      <c r="AM1" s="602"/>
      <c r="AN1" s="602"/>
      <c r="AO1" s="602"/>
      <c r="AP1" s="602"/>
      <c r="AQ1" s="602"/>
      <c r="AR1" s="602"/>
      <c r="AS1" s="602"/>
      <c r="AT1" s="602"/>
      <c r="AU1" s="602"/>
      <c r="AV1" s="602"/>
      <c r="AW1" s="602"/>
      <c r="AX1" s="602"/>
      <c r="AY1" s="602"/>
      <c r="AZ1" s="602"/>
      <c r="BA1" s="602"/>
      <c r="BB1" s="602"/>
    </row>
    <row r="2" spans="1:5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50" t="s">
        <v>239</v>
      </c>
      <c r="Z2" s="150" t="s">
        <v>240</v>
      </c>
      <c r="AA2" s="150" t="s">
        <v>246</v>
      </c>
      <c r="AB2" s="1"/>
      <c r="AC2" s="1"/>
      <c r="AD2" s="1"/>
      <c r="AE2" s="20"/>
      <c r="AF2" s="602"/>
      <c r="AG2" s="602"/>
      <c r="AH2" s="602"/>
      <c r="AI2" s="602"/>
      <c r="AJ2" s="602"/>
      <c r="AK2" s="602"/>
      <c r="AL2" s="602"/>
      <c r="AM2" s="602"/>
      <c r="AN2" s="602"/>
      <c r="AO2" s="602"/>
      <c r="AP2" s="602"/>
      <c r="AQ2" s="602"/>
      <c r="AR2" s="602"/>
      <c r="AS2" s="602"/>
      <c r="AT2" s="602"/>
      <c r="AU2" s="602"/>
      <c r="AV2" s="602"/>
      <c r="AW2" s="602"/>
      <c r="AX2" s="602"/>
      <c r="AY2" s="602"/>
      <c r="AZ2" s="602"/>
      <c r="BA2" s="602"/>
      <c r="BB2" s="602"/>
    </row>
    <row r="3" spans="1:5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35">
        <f>2*(AXA!C15+AXA!C9)*(DSB!C8+2*DSB!I6)</f>
        <v>163.1747492458785</v>
      </c>
      <c r="Z3" s="133">
        <f>Y3*DSB!$F$20</f>
        <v>2610.795987934056</v>
      </c>
      <c r="AA3" s="137">
        <f>(Y4/1000)*DSB!G67</f>
        <v>1566.6000000000001</v>
      </c>
      <c r="AB3" s="1"/>
      <c r="AC3" s="1"/>
      <c r="AD3" s="1"/>
      <c r="AE3" s="20"/>
      <c r="AF3" s="602"/>
      <c r="AG3" s="602"/>
      <c r="AH3" s="602"/>
      <c r="AI3" s="602"/>
      <c r="AJ3" s="602"/>
      <c r="AK3" s="602"/>
      <c r="AL3" s="602"/>
      <c r="AM3" s="602"/>
      <c r="AN3" s="602"/>
      <c r="AO3" s="602"/>
      <c r="AP3" s="602"/>
      <c r="AQ3" s="602"/>
      <c r="AR3" s="602"/>
      <c r="AS3" s="602"/>
      <c r="AT3" s="602"/>
      <c r="AU3" s="602"/>
      <c r="AV3" s="602"/>
      <c r="AW3" s="602"/>
      <c r="AX3" s="602"/>
      <c r="AY3" s="602"/>
      <c r="AZ3" s="602"/>
      <c r="BA3" s="602"/>
      <c r="BB3" s="602"/>
    </row>
    <row r="4" spans="1:54">
      <c r="A4" s="1"/>
      <c r="B4" s="1"/>
      <c r="C4" s="1"/>
      <c r="D4" s="1"/>
      <c r="E4" s="1"/>
      <c r="F4" s="1"/>
      <c r="G4" s="150" t="s">
        <v>565</v>
      </c>
      <c r="H4" s="150" t="s">
        <v>566</v>
      </c>
      <c r="I4" s="150" t="s">
        <v>567</v>
      </c>
      <c r="J4" s="150" t="s">
        <v>230</v>
      </c>
      <c r="K4" s="150" t="s">
        <v>230</v>
      </c>
      <c r="L4" s="150"/>
      <c r="M4" s="150" t="s">
        <v>566</v>
      </c>
      <c r="N4" s="150"/>
      <c r="O4" s="150" t="s">
        <v>567</v>
      </c>
      <c r="P4" s="150"/>
      <c r="Q4" s="150"/>
      <c r="R4" s="157"/>
      <c r="S4" s="150"/>
      <c r="T4" s="1"/>
      <c r="U4" s="1"/>
      <c r="V4" s="1"/>
      <c r="W4" s="1"/>
      <c r="X4" s="1"/>
      <c r="Y4" s="134">
        <f>ROUNDUP(Z3,0)</f>
        <v>2611</v>
      </c>
      <c r="Z4" s="1"/>
      <c r="AA4" s="1"/>
      <c r="AB4" s="1"/>
      <c r="AC4" s="1"/>
      <c r="AD4" s="1"/>
      <c r="AE4" s="20"/>
      <c r="AF4" s="602"/>
      <c r="AG4" s="602"/>
      <c r="AH4" s="602"/>
      <c r="AI4" s="602"/>
      <c r="AJ4" s="602"/>
      <c r="AK4" s="602"/>
      <c r="AL4" s="602"/>
      <c r="AM4" s="602"/>
      <c r="AN4" s="602"/>
      <c r="AO4" s="602"/>
      <c r="AP4" s="602"/>
      <c r="AQ4" s="602"/>
      <c r="AR4" s="602"/>
      <c r="AS4" s="602"/>
      <c r="AT4" s="602"/>
      <c r="AU4" s="602"/>
      <c r="AV4" s="602"/>
      <c r="AW4" s="602"/>
      <c r="AX4" s="602"/>
      <c r="AY4" s="602"/>
      <c r="AZ4" s="602"/>
      <c r="BA4" s="602"/>
      <c r="BB4" s="602"/>
    </row>
    <row r="5" spans="1:54">
      <c r="A5" s="1"/>
      <c r="B5" s="1"/>
      <c r="C5" s="1"/>
      <c r="D5" s="1"/>
      <c r="E5" s="1"/>
      <c r="F5" s="20"/>
      <c r="G5" s="150" t="s">
        <v>78</v>
      </c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7"/>
      <c r="S5" s="150"/>
      <c r="T5" s="1"/>
      <c r="U5" s="1"/>
      <c r="V5" s="1"/>
      <c r="W5" s="1"/>
      <c r="X5" s="1"/>
      <c r="Y5" s="150" t="s">
        <v>237</v>
      </c>
      <c r="Z5" s="150" t="s">
        <v>154</v>
      </c>
      <c r="AA5" s="150" t="s">
        <v>246</v>
      </c>
      <c r="AB5" s="1"/>
      <c r="AC5" s="1"/>
      <c r="AD5" s="1"/>
      <c r="AE5" s="20"/>
      <c r="AF5" s="602"/>
      <c r="AG5" s="602"/>
      <c r="AH5" s="602"/>
      <c r="AI5" s="602"/>
      <c r="AJ5" s="602"/>
      <c r="AK5" s="602"/>
      <c r="AL5" s="602"/>
      <c r="AM5" s="602"/>
      <c r="AN5" s="602"/>
      <c r="AO5" s="602"/>
      <c r="AP5" s="602"/>
      <c r="AQ5" s="602"/>
      <c r="AR5" s="602"/>
      <c r="AS5" s="602"/>
      <c r="AT5" s="602"/>
      <c r="AU5" s="602"/>
      <c r="AV5" s="602"/>
      <c r="AW5" s="602"/>
      <c r="AX5" s="602"/>
      <c r="AY5" s="602"/>
      <c r="AZ5" s="602"/>
      <c r="BA5" s="602"/>
      <c r="BB5" s="602"/>
    </row>
    <row r="6" spans="1:54">
      <c r="A6" s="1"/>
      <c r="B6" s="1"/>
      <c r="C6" s="1"/>
      <c r="D6" s="1"/>
      <c r="E6" s="1"/>
      <c r="F6" s="20"/>
      <c r="G6" s="111" t="s">
        <v>226</v>
      </c>
      <c r="H6" s="111">
        <v>1</v>
      </c>
      <c r="I6" s="111">
        <f>IF(VRF!G38&gt;=VRF!G42,VRF!G38,VRF!G42)</f>
        <v>0.84282119988771009</v>
      </c>
      <c r="J6" s="128">
        <f>I6/H6</f>
        <v>0.84282119988771009</v>
      </c>
      <c r="K6" s="129">
        <f>IF(J6&lt;1,1-J6,0)</f>
        <v>0.15717880011228991</v>
      </c>
      <c r="L6" s="129" t="str">
        <f>G6</f>
        <v>Flexão oblíqua</v>
      </c>
      <c r="M6" s="606">
        <f>H6</f>
        <v>1</v>
      </c>
      <c r="N6" s="148" t="s">
        <v>273</v>
      </c>
      <c r="O6" s="606">
        <f>I6</f>
        <v>0.84282119988771009</v>
      </c>
      <c r="P6" s="148"/>
      <c r="Q6" s="148"/>
      <c r="R6" s="607">
        <f>IF(J6&gt;1,J6,0)</f>
        <v>0</v>
      </c>
      <c r="S6" s="148"/>
      <c r="T6" s="1"/>
      <c r="U6" s="1"/>
      <c r="V6" s="1"/>
      <c r="W6" s="1"/>
      <c r="X6" s="1"/>
      <c r="Y6" s="623">
        <f>2*(((AXA!C15+AXA!C9)/DSB!C29)+2)</f>
        <v>24.065758638204439</v>
      </c>
      <c r="Z6" s="132">
        <f>Y7*(DSB!C8+2*DSB!I6)</f>
        <v>535</v>
      </c>
      <c r="AA6" s="137">
        <f>Z6*DSB!G69</f>
        <v>9630</v>
      </c>
      <c r="AB6" s="1"/>
      <c r="AC6" s="1"/>
      <c r="AD6" s="1"/>
      <c r="AE6" s="20"/>
      <c r="AF6" s="602"/>
      <c r="AG6" s="602"/>
      <c r="AH6" s="602"/>
      <c r="AI6" s="602"/>
      <c r="AJ6" s="602"/>
      <c r="AK6" s="602"/>
      <c r="AL6" s="602"/>
      <c r="AM6" s="602"/>
      <c r="AN6" s="602"/>
      <c r="AO6" s="602"/>
      <c r="AP6" s="602"/>
      <c r="AQ6" s="602"/>
      <c r="AR6" s="602"/>
      <c r="AS6" s="602"/>
      <c r="AT6" s="602"/>
      <c r="AU6" s="602"/>
      <c r="AV6" s="602"/>
      <c r="AW6" s="602"/>
      <c r="AX6" s="602"/>
      <c r="AY6" s="602"/>
      <c r="AZ6" s="602"/>
      <c r="BA6" s="602"/>
      <c r="BB6" s="602"/>
    </row>
    <row r="7" spans="1:54">
      <c r="A7" s="1"/>
      <c r="B7" s="1"/>
      <c r="C7" s="1"/>
      <c r="D7" s="1"/>
      <c r="E7" s="1"/>
      <c r="F7" s="20"/>
      <c r="G7" s="111" t="s">
        <v>101</v>
      </c>
      <c r="H7" s="111">
        <f>VRF!E46</f>
        <v>0.17499999999999999</v>
      </c>
      <c r="I7" s="111">
        <f>VRF!E47</f>
        <v>2.7175027644239257E-2</v>
      </c>
      <c r="J7" s="128">
        <f t="shared" ref="J7:J9" si="0">I7/H7</f>
        <v>0.15528587225279575</v>
      </c>
      <c r="K7" s="129">
        <f t="shared" ref="K7:K13" si="1">IF(J7&lt;1,1-J7,0)</f>
        <v>0.84471412774720422</v>
      </c>
      <c r="L7" s="129" t="str">
        <f>G7</f>
        <v>Cisalhamento</v>
      </c>
      <c r="M7" s="606">
        <f t="shared" ref="M7:M13" si="2">H7</f>
        <v>0.17499999999999999</v>
      </c>
      <c r="N7" s="146" t="s">
        <v>265</v>
      </c>
      <c r="O7" s="606">
        <f t="shared" ref="O7:O13" si="3">I7</f>
        <v>2.7175027644239257E-2</v>
      </c>
      <c r="P7" s="146" t="s">
        <v>265</v>
      </c>
      <c r="Q7" s="146"/>
      <c r="R7" s="607">
        <f t="shared" ref="R7:R13" si="4">IF(J7&gt;1,J7,0)</f>
        <v>0</v>
      </c>
      <c r="S7" s="146"/>
      <c r="T7" s="1"/>
      <c r="U7" s="1"/>
      <c r="V7" s="1"/>
      <c r="W7" s="1"/>
      <c r="X7" s="1"/>
      <c r="Y7" s="624">
        <f>ROUNDUP(Y6,0)</f>
        <v>25</v>
      </c>
      <c r="Z7" s="1"/>
      <c r="AA7" s="1"/>
      <c r="AB7" s="1"/>
      <c r="AC7" s="1"/>
      <c r="AD7" s="1"/>
      <c r="AE7" s="20"/>
      <c r="AF7" s="602"/>
      <c r="AG7" s="602"/>
      <c r="AH7" s="602"/>
      <c r="AI7" s="602"/>
      <c r="AJ7" s="602"/>
      <c r="AK7" s="602"/>
      <c r="AL7" s="602"/>
      <c r="AM7" s="602"/>
      <c r="AN7" s="602"/>
      <c r="AO7" s="602"/>
      <c r="AP7" s="602"/>
      <c r="AQ7" s="602"/>
      <c r="AR7" s="602"/>
      <c r="AS7" s="602"/>
      <c r="AT7" s="602"/>
      <c r="AU7" s="602"/>
      <c r="AV7" s="602"/>
      <c r="AW7" s="602"/>
      <c r="AX7" s="602"/>
      <c r="AY7" s="602"/>
      <c r="AZ7" s="602"/>
      <c r="BA7" s="602"/>
      <c r="BB7" s="602"/>
    </row>
    <row r="8" spans="1:54">
      <c r="A8" s="1"/>
      <c r="B8" s="1"/>
      <c r="C8" s="1"/>
      <c r="D8" s="1"/>
      <c r="E8" s="1"/>
      <c r="F8" s="20"/>
      <c r="G8" s="111" t="s">
        <v>102</v>
      </c>
      <c r="H8" s="111">
        <f>VRF!H53</f>
        <v>0.23333333333333334</v>
      </c>
      <c r="I8" s="111">
        <f>VRF!H54</f>
        <v>0.3544961336576592</v>
      </c>
      <c r="J8" s="128">
        <f t="shared" si="0"/>
        <v>1.5192691442471109</v>
      </c>
      <c r="K8" s="129">
        <f t="shared" si="1"/>
        <v>0</v>
      </c>
      <c r="L8" s="129" t="str">
        <f>G8</f>
        <v>Deslocamento</v>
      </c>
      <c r="M8" s="606">
        <f t="shared" si="2"/>
        <v>0.23333333333333334</v>
      </c>
      <c r="N8" s="147" t="s">
        <v>266</v>
      </c>
      <c r="O8" s="606">
        <f t="shared" si="3"/>
        <v>0.3544961336576592</v>
      </c>
      <c r="P8" s="147" t="s">
        <v>266</v>
      </c>
      <c r="Q8" s="147"/>
      <c r="R8" s="607">
        <f t="shared" si="4"/>
        <v>1.5192691442471109</v>
      </c>
      <c r="S8" s="14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20"/>
      <c r="AF8" s="602"/>
      <c r="AG8" s="602"/>
      <c r="AH8" s="602"/>
      <c r="AI8" s="602"/>
      <c r="AJ8" s="602"/>
      <c r="AK8" s="602"/>
      <c r="AL8" s="602"/>
      <c r="AM8" s="602"/>
      <c r="AN8" s="602"/>
      <c r="AO8" s="602"/>
      <c r="AP8" s="602"/>
      <c r="AQ8" s="602"/>
      <c r="AR8" s="602"/>
      <c r="AS8" s="602"/>
      <c r="AT8" s="602"/>
      <c r="AU8" s="602"/>
      <c r="AV8" s="602"/>
      <c r="AW8" s="602"/>
      <c r="AX8" s="602"/>
      <c r="AY8" s="602"/>
      <c r="AZ8" s="602"/>
      <c r="BA8" s="602"/>
      <c r="BB8" s="602"/>
    </row>
    <row r="9" spans="1:54">
      <c r="A9" s="1"/>
      <c r="B9" s="1"/>
      <c r="C9" s="1"/>
      <c r="D9" s="1"/>
      <c r="E9" s="1"/>
      <c r="F9" s="20"/>
      <c r="G9" s="111" t="s">
        <v>227</v>
      </c>
      <c r="H9" s="111">
        <f>VRF!E50</f>
        <v>0.4</v>
      </c>
      <c r="I9" s="111">
        <f>VRF!E54</f>
        <v>1.3587513822119628E-2</v>
      </c>
      <c r="J9" s="128">
        <f t="shared" si="0"/>
        <v>3.3968784555299066E-2</v>
      </c>
      <c r="K9" s="129">
        <f t="shared" si="1"/>
        <v>0.96603121544470094</v>
      </c>
      <c r="L9" s="129" t="str">
        <f>G9</f>
        <v>Compressão normal às fibras</v>
      </c>
      <c r="M9" s="606">
        <f t="shared" si="2"/>
        <v>0.4</v>
      </c>
      <c r="N9" s="146" t="s">
        <v>265</v>
      </c>
      <c r="O9" s="606">
        <f t="shared" si="3"/>
        <v>1.3587513822119628E-2</v>
      </c>
      <c r="P9" s="146" t="s">
        <v>265</v>
      </c>
      <c r="Q9" s="146"/>
      <c r="R9" s="607">
        <f t="shared" si="4"/>
        <v>0</v>
      </c>
      <c r="S9" s="14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20"/>
      <c r="AF9" s="602"/>
      <c r="AG9" s="602"/>
      <c r="AH9" s="602"/>
      <c r="AI9" s="602"/>
      <c r="AJ9" s="602"/>
      <c r="AK9" s="602"/>
      <c r="AL9" s="602"/>
      <c r="AM9" s="602"/>
      <c r="AN9" s="602"/>
      <c r="AO9" s="602"/>
      <c r="AP9" s="602"/>
      <c r="AQ9" s="602"/>
      <c r="AR9" s="602"/>
      <c r="AS9" s="602"/>
      <c r="AT9" s="602"/>
      <c r="AU9" s="602"/>
      <c r="AV9" s="602"/>
      <c r="AW9" s="602"/>
      <c r="AX9" s="602"/>
      <c r="AY9" s="602"/>
      <c r="AZ9" s="602"/>
      <c r="BA9" s="602"/>
      <c r="BB9" s="602"/>
    </row>
    <row r="10" spans="1:54">
      <c r="A10" s="1"/>
      <c r="B10" s="1"/>
      <c r="C10" s="1"/>
      <c r="D10" s="1"/>
      <c r="E10" s="20"/>
      <c r="F10" s="20" t="str">
        <f>IF(OR(J6&gt;1,J7&gt;1,J8&gt;1,J9&gt;1),"Não Atente","Sim Atende")</f>
        <v>Não Atente</v>
      </c>
      <c r="G10" s="614" t="s">
        <v>231</v>
      </c>
      <c r="H10" s="615"/>
      <c r="I10" s="615"/>
      <c r="J10" s="616">
        <f>LARGE(J6:J9,1)</f>
        <v>1.5192691442471109</v>
      </c>
      <c r="K10" s="617">
        <f t="shared" si="1"/>
        <v>0</v>
      </c>
      <c r="L10" s="614" t="str">
        <f>VLOOKUP(J10,J6:O9,3,0)</f>
        <v>Deslocamento</v>
      </c>
      <c r="M10" s="618">
        <f>ROUNDDOWN(VLOOKUP($J$10,$J$6:$P$9,4,0),2)</f>
        <v>0.23</v>
      </c>
      <c r="N10" s="614" t="str">
        <f>VLOOKUP($J$10,$J$6:$P$9,5,0)</f>
        <v>cm</v>
      </c>
      <c r="O10" s="619">
        <f>ROUNDDOWN(VLOOKUP($J$10,$J$6:$P$9,6,0),2)</f>
        <v>0.35</v>
      </c>
      <c r="P10" s="614" t="str">
        <f>VLOOKUP($J$10,$J$6:$P$9,7,0)</f>
        <v>cm</v>
      </c>
      <c r="Q10" s="614" t="str">
        <f>CONCATENATE("Solicitação ",O10," ",IF(P10=0," ",P10))</f>
        <v>Solicitação 0,35 cm</v>
      </c>
      <c r="R10" s="620">
        <f t="shared" si="4"/>
        <v>1.5192691442471109</v>
      </c>
      <c r="S10" s="614" t="str">
        <f>CONCATENATE("Resistência ",M10," ",IF(N10=0," ",N10))</f>
        <v>Resistência 0,23 cm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20"/>
      <c r="AF10" s="602"/>
      <c r="AG10" s="602"/>
      <c r="AH10" s="602"/>
      <c r="AI10" s="602"/>
      <c r="AJ10" s="602"/>
      <c r="AK10" s="602"/>
      <c r="AL10" s="602"/>
      <c r="AM10" s="602"/>
      <c r="AN10" s="602"/>
      <c r="AO10" s="602"/>
      <c r="AP10" s="602"/>
      <c r="AQ10" s="602"/>
      <c r="AR10" s="602"/>
      <c r="AS10" s="602"/>
      <c r="AT10" s="602"/>
      <c r="AU10" s="602"/>
      <c r="AV10" s="602"/>
      <c r="AW10" s="602"/>
      <c r="AX10" s="602"/>
      <c r="AY10" s="602"/>
      <c r="AZ10" s="602"/>
      <c r="BA10" s="602"/>
      <c r="BB10" s="602"/>
    </row>
    <row r="11" spans="1:54">
      <c r="A11" s="1"/>
      <c r="B11" s="1"/>
      <c r="C11" s="1"/>
      <c r="D11" s="1"/>
      <c r="E11" s="1"/>
      <c r="F11" s="20"/>
      <c r="G11" s="150" t="s">
        <v>83</v>
      </c>
      <c r="H11" s="150" t="s">
        <v>228</v>
      </c>
      <c r="I11" s="150" t="s">
        <v>229</v>
      </c>
      <c r="J11" s="150" t="s">
        <v>230</v>
      </c>
      <c r="K11" s="150" t="s">
        <v>230</v>
      </c>
      <c r="L11" s="150"/>
      <c r="M11" s="612"/>
      <c r="N11" s="150"/>
      <c r="O11" s="612"/>
      <c r="P11" s="150"/>
      <c r="Q11" s="150"/>
      <c r="R11" s="158"/>
      <c r="S11" s="150"/>
      <c r="T11" s="1"/>
      <c r="U11" s="1"/>
      <c r="V11" s="1"/>
      <c r="W11" s="1"/>
      <c r="X11" s="1"/>
      <c r="Y11" s="150" t="s">
        <v>237</v>
      </c>
      <c r="Z11" s="150" t="s">
        <v>154</v>
      </c>
      <c r="AA11" s="150" t="s">
        <v>246</v>
      </c>
      <c r="AB11" s="1"/>
      <c r="AC11" s="1"/>
      <c r="AD11" s="1"/>
      <c r="AE11" s="20"/>
      <c r="AF11" s="602"/>
      <c r="AG11" s="602"/>
      <c r="AH11" s="602"/>
      <c r="AI11" s="602"/>
      <c r="AJ11" s="602"/>
      <c r="AK11" s="602"/>
      <c r="AL11" s="602"/>
      <c r="AM11" s="602"/>
      <c r="AN11" s="602"/>
      <c r="AO11" s="602"/>
      <c r="AP11" s="602"/>
      <c r="AQ11" s="602"/>
      <c r="AR11" s="602"/>
      <c r="AS11" s="602"/>
      <c r="AT11" s="602"/>
      <c r="AU11" s="602"/>
      <c r="AV11" s="602"/>
      <c r="AW11" s="602"/>
      <c r="AX11" s="602"/>
      <c r="AY11" s="602"/>
      <c r="AZ11" s="602"/>
      <c r="BA11" s="602"/>
      <c r="BB11" s="602"/>
    </row>
    <row r="12" spans="1:54">
      <c r="A12" s="1"/>
      <c r="B12" s="1"/>
      <c r="C12" s="1"/>
      <c r="D12" s="1"/>
      <c r="E12" s="1"/>
      <c r="F12" s="20"/>
      <c r="G12" s="111" t="s">
        <v>372</v>
      </c>
      <c r="H12" s="111">
        <f>VRF!M19</f>
        <v>1.6</v>
      </c>
      <c r="I12" s="111">
        <f>VRF!M20</f>
        <v>2.1558679520580548</v>
      </c>
      <c r="J12" s="128">
        <f>IF(I12="-",0,I12/H12)</f>
        <v>1.3474174700362842</v>
      </c>
      <c r="K12" s="129">
        <f>IF(J12&lt;1,1-J12,0)</f>
        <v>0</v>
      </c>
      <c r="L12" s="129" t="str">
        <f t="shared" ref="L12:L18" si="5">G12</f>
        <v>Flexão simples</v>
      </c>
      <c r="M12" s="606">
        <f t="shared" si="2"/>
        <v>1.6</v>
      </c>
      <c r="N12" s="146" t="s">
        <v>265</v>
      </c>
      <c r="O12" s="606">
        <f t="shared" si="3"/>
        <v>2.1558679520580548</v>
      </c>
      <c r="P12" s="129" t="str">
        <f>N12</f>
        <v>kN/cm²</v>
      </c>
      <c r="Q12" s="129"/>
      <c r="R12" s="607">
        <f>IF(J12&gt;1,J12,0)</f>
        <v>1.3474174700362842</v>
      </c>
      <c r="S12" s="129"/>
      <c r="T12" s="1"/>
      <c r="U12" s="1"/>
      <c r="V12" s="1"/>
      <c r="W12" s="1"/>
      <c r="X12" s="1"/>
      <c r="Y12" s="623">
        <f>2*(((DSB!C8+2*DSB!I6)/DSB!F29)+1)</f>
        <v>63.142857142857146</v>
      </c>
      <c r="Z12" s="132">
        <f>Y14*(AXA!C15+AXA!C9)</f>
        <v>243.999625040566</v>
      </c>
      <c r="AA12" s="137">
        <f>Z12*DSB!G71</f>
        <v>6343.9902510547163</v>
      </c>
      <c r="AB12" s="1"/>
      <c r="AC12" s="1"/>
      <c r="AD12" s="1"/>
      <c r="AE12" s="20"/>
      <c r="AF12" s="602"/>
      <c r="AG12" s="602"/>
      <c r="AH12" s="602"/>
      <c r="AI12" s="602"/>
      <c r="AJ12" s="602"/>
      <c r="AK12" s="602"/>
      <c r="AL12" s="602"/>
      <c r="AM12" s="602"/>
      <c r="AN12" s="602"/>
      <c r="AO12" s="602"/>
      <c r="AP12" s="602"/>
      <c r="AQ12" s="602"/>
      <c r="AR12" s="602"/>
      <c r="AS12" s="602"/>
      <c r="AT12" s="602"/>
      <c r="AU12" s="602"/>
      <c r="AV12" s="602"/>
      <c r="AW12" s="602"/>
      <c r="AX12" s="602"/>
      <c r="AY12" s="602"/>
      <c r="AZ12" s="602"/>
      <c r="BA12" s="602"/>
      <c r="BB12" s="602"/>
    </row>
    <row r="13" spans="1:54">
      <c r="A13" s="1"/>
      <c r="B13" s="1"/>
      <c r="C13" s="1"/>
      <c r="D13" s="1"/>
      <c r="E13" s="1"/>
      <c r="F13" s="20"/>
      <c r="G13" s="111" t="s">
        <v>367</v>
      </c>
      <c r="H13" s="111">
        <f>VRF!M29</f>
        <v>1.6</v>
      </c>
      <c r="I13" s="111">
        <f>VRF!M30</f>
        <v>0.1156263263337903</v>
      </c>
      <c r="J13" s="128">
        <f>IF(I13="-",0,I13/H13)</f>
        <v>7.2266453958618929E-2</v>
      </c>
      <c r="K13" s="129">
        <f t="shared" si="1"/>
        <v>0.92773354604138103</v>
      </c>
      <c r="L13" s="129" t="str">
        <f t="shared" si="5"/>
        <v>Compressão</v>
      </c>
      <c r="M13" s="606">
        <f t="shared" si="2"/>
        <v>1.6</v>
      </c>
      <c r="N13" s="146" t="s">
        <v>265</v>
      </c>
      <c r="O13" s="606">
        <f t="shared" si="3"/>
        <v>0.1156263263337903</v>
      </c>
      <c r="P13" s="129" t="str">
        <f>N13</f>
        <v>kN/cm²</v>
      </c>
      <c r="Q13" s="129"/>
      <c r="R13" s="607">
        <f t="shared" si="4"/>
        <v>0</v>
      </c>
      <c r="S13" s="129"/>
      <c r="T13" s="1"/>
      <c r="U13" s="1"/>
      <c r="V13" s="1"/>
      <c r="W13" s="1"/>
      <c r="X13" s="1"/>
      <c r="Y13" s="623"/>
      <c r="Z13" s="604"/>
      <c r="AA13" s="605"/>
      <c r="AB13" s="1"/>
      <c r="AC13" s="1"/>
      <c r="AD13" s="1"/>
      <c r="AE13" s="20"/>
      <c r="AF13" s="602"/>
      <c r="AG13" s="602"/>
      <c r="AH13" s="602"/>
      <c r="AI13" s="602"/>
      <c r="AJ13" s="602"/>
      <c r="AK13" s="602"/>
      <c r="AL13" s="602"/>
      <c r="AM13" s="602"/>
      <c r="AN13" s="602"/>
      <c r="AO13" s="602"/>
      <c r="AP13" s="602"/>
      <c r="AQ13" s="602"/>
      <c r="AR13" s="602"/>
      <c r="AS13" s="602"/>
      <c r="AT13" s="602"/>
      <c r="AU13" s="602"/>
      <c r="AV13" s="602"/>
      <c r="AW13" s="602"/>
      <c r="AX13" s="602"/>
      <c r="AY13" s="602"/>
      <c r="AZ13" s="602"/>
      <c r="BA13" s="602"/>
      <c r="BB13" s="602"/>
    </row>
    <row r="14" spans="1:54">
      <c r="A14" s="1"/>
      <c r="B14" s="1"/>
      <c r="C14" s="1"/>
      <c r="D14" s="1"/>
      <c r="E14" s="1"/>
      <c r="F14" s="20"/>
      <c r="G14" s="111" t="s">
        <v>373</v>
      </c>
      <c r="H14" s="111">
        <v>1</v>
      </c>
      <c r="I14" s="111">
        <f>VRF!M37</f>
        <v>1.3526399104040374</v>
      </c>
      <c r="J14" s="128">
        <f>IF(I14="-",0,I14/H14)</f>
        <v>1.3526399104040374</v>
      </c>
      <c r="K14" s="129">
        <f t="shared" ref="K14" si="6">IF(J14&lt;1,1-J14,0)</f>
        <v>0</v>
      </c>
      <c r="L14" s="129" t="str">
        <f t="shared" si="5"/>
        <v xml:space="preserve">Flexocompressão </v>
      </c>
      <c r="M14" s="606">
        <f t="shared" ref="M14" si="7">H14</f>
        <v>1</v>
      </c>
      <c r="N14" s="129" t="s">
        <v>273</v>
      </c>
      <c r="O14" s="606">
        <f t="shared" ref="O14" si="8">I14</f>
        <v>1.3526399104040374</v>
      </c>
      <c r="P14" s="129" t="str">
        <f>N14</f>
        <v xml:space="preserve"> </v>
      </c>
      <c r="Q14" s="129"/>
      <c r="R14" s="607">
        <f t="shared" ref="R14" si="9">IF(J14&gt;1,J14,0)</f>
        <v>1.3526399104040374</v>
      </c>
      <c r="S14" s="129"/>
      <c r="T14" s="1"/>
      <c r="U14" s="1"/>
      <c r="V14" s="1"/>
      <c r="W14" s="1"/>
      <c r="X14" s="1"/>
      <c r="Y14" s="624">
        <f>EVEN(Y12)</f>
        <v>64</v>
      </c>
      <c r="Z14" s="1"/>
      <c r="AA14" s="1"/>
      <c r="AB14" s="1"/>
      <c r="AC14" s="1"/>
      <c r="AD14" s="1"/>
      <c r="AE14" s="20"/>
      <c r="AF14" s="602"/>
      <c r="AG14" s="602"/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602"/>
      <c r="BA14" s="602"/>
      <c r="BB14" s="602"/>
    </row>
    <row r="15" spans="1:54">
      <c r="A15" s="1"/>
      <c r="B15" s="1"/>
      <c r="C15" s="1"/>
      <c r="D15" s="1"/>
      <c r="E15" s="1"/>
      <c r="F15" s="20"/>
      <c r="G15" s="111" t="s">
        <v>101</v>
      </c>
      <c r="H15" s="111">
        <f>VRF!P19</f>
        <v>0.17499999999999999</v>
      </c>
      <c r="I15" s="111">
        <f>VRF!P20</f>
        <v>5.4040497649242708E-2</v>
      </c>
      <c r="J15" s="128">
        <f t="shared" ref="J15:J17" si="10">I15/H15</f>
        <v>0.30880284370995836</v>
      </c>
      <c r="K15" s="129">
        <f>IF(J15&lt;1,1-J15,0)</f>
        <v>0.69119715629004164</v>
      </c>
      <c r="L15" s="129" t="str">
        <f t="shared" si="5"/>
        <v>Cisalhamento</v>
      </c>
      <c r="M15" s="606">
        <f>H15</f>
        <v>0.17499999999999999</v>
      </c>
      <c r="N15" s="146" t="s">
        <v>265</v>
      </c>
      <c r="O15" s="606">
        <f>I15</f>
        <v>5.4040497649242708E-2</v>
      </c>
      <c r="P15" s="129" t="str">
        <f t="shared" ref="P15:P18" si="11">N15</f>
        <v>kN/cm²</v>
      </c>
      <c r="Q15" s="129"/>
      <c r="R15" s="607">
        <f>IF(J15&gt;1,J15,0)</f>
        <v>0</v>
      </c>
      <c r="S15" s="129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20"/>
      <c r="AF15" s="602"/>
      <c r="AG15" s="602"/>
      <c r="AH15" s="602"/>
      <c r="AI15" s="602"/>
      <c r="AJ15" s="602"/>
      <c r="AK15" s="602"/>
      <c r="AL15" s="602"/>
      <c r="AM15" s="602"/>
      <c r="AN15" s="602"/>
      <c r="AO15" s="602"/>
      <c r="AP15" s="602"/>
      <c r="AQ15" s="602"/>
      <c r="AR15" s="602"/>
      <c r="AS15" s="602"/>
      <c r="AT15" s="602"/>
      <c r="AU15" s="602"/>
      <c r="AV15" s="602"/>
      <c r="AW15" s="602"/>
      <c r="AX15" s="602"/>
      <c r="AY15" s="602"/>
      <c r="AZ15" s="602"/>
      <c r="BA15" s="602"/>
      <c r="BB15" s="602"/>
    </row>
    <row r="16" spans="1:54">
      <c r="A16" s="1"/>
      <c r="B16" s="1"/>
      <c r="C16" s="1"/>
      <c r="D16" s="1"/>
      <c r="E16" s="1"/>
      <c r="F16" s="20"/>
      <c r="G16" s="111" t="s">
        <v>102</v>
      </c>
      <c r="H16" s="111">
        <f>VRF!P23</f>
        <v>0.51355514688189907</v>
      </c>
      <c r="I16" s="111">
        <f>VRF!P24</f>
        <v>0.81041632865788416</v>
      </c>
      <c r="J16" s="128">
        <f t="shared" si="10"/>
        <v>1.5780512250308603</v>
      </c>
      <c r="K16" s="129">
        <f>IF(J16&lt;1,1-J16,0)</f>
        <v>0</v>
      </c>
      <c r="L16" s="129" t="str">
        <f t="shared" si="5"/>
        <v>Deslocamento</v>
      </c>
      <c r="M16" s="606">
        <f>H16</f>
        <v>0.51355514688189907</v>
      </c>
      <c r="N16" s="147" t="s">
        <v>266</v>
      </c>
      <c r="O16" s="606">
        <f>I16</f>
        <v>0.81041632865788416</v>
      </c>
      <c r="P16" s="129" t="str">
        <f t="shared" si="11"/>
        <v>cm</v>
      </c>
      <c r="Q16" s="129"/>
      <c r="R16" s="607">
        <f>IF(J16&gt;1,J16,0)</f>
        <v>1.5780512250308603</v>
      </c>
      <c r="S16" s="129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20"/>
      <c r="AF16" s="602"/>
      <c r="AG16" s="602"/>
      <c r="AH16" s="602"/>
      <c r="AI16" s="602"/>
      <c r="AJ16" s="602"/>
      <c r="AK16" s="602"/>
      <c r="AL16" s="602"/>
      <c r="AM16" s="602"/>
      <c r="AN16" s="602"/>
      <c r="AO16" s="602"/>
      <c r="AP16" s="602"/>
      <c r="AQ16" s="602"/>
      <c r="AR16" s="602"/>
      <c r="AS16" s="602"/>
      <c r="AT16" s="602"/>
      <c r="AU16" s="602"/>
      <c r="AV16" s="602"/>
      <c r="AW16" s="602"/>
      <c r="AX16" s="602"/>
      <c r="AY16" s="602"/>
      <c r="AZ16" s="602"/>
      <c r="BA16" s="602"/>
      <c r="BB16" s="602"/>
    </row>
    <row r="17" spans="1:54">
      <c r="A17" s="1"/>
      <c r="B17" s="1"/>
      <c r="C17" s="1"/>
      <c r="D17" s="1"/>
      <c r="E17" s="1"/>
      <c r="F17" s="20"/>
      <c r="G17" s="111" t="s">
        <v>227</v>
      </c>
      <c r="H17" s="111">
        <f>VRF!P27</f>
        <v>0.4</v>
      </c>
      <c r="I17" s="111">
        <f>VRF!P31</f>
        <v>7.2053996865656944E-2</v>
      </c>
      <c r="J17" s="128">
        <f t="shared" si="10"/>
        <v>0.18013499216414236</v>
      </c>
      <c r="K17" s="129">
        <f>IF(J17&lt;1,1-J17,0)</f>
        <v>0.81986500783585758</v>
      </c>
      <c r="L17" s="129" t="str">
        <f t="shared" si="5"/>
        <v>Compressão normal às fibras</v>
      </c>
      <c r="M17" s="606">
        <f>H17</f>
        <v>0.4</v>
      </c>
      <c r="N17" s="146" t="s">
        <v>265</v>
      </c>
      <c r="O17" s="606">
        <f>I17</f>
        <v>7.2053996865656944E-2</v>
      </c>
      <c r="P17" s="129" t="str">
        <f t="shared" si="11"/>
        <v>kN/cm²</v>
      </c>
      <c r="Q17" s="129"/>
      <c r="R17" s="607">
        <f>IF(J17&gt;1,J17,0)</f>
        <v>0</v>
      </c>
      <c r="S17" s="129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20"/>
      <c r="AF17" s="602"/>
      <c r="AG17" s="602"/>
      <c r="AH17" s="602"/>
      <c r="AI17" s="602"/>
      <c r="AJ17" s="602"/>
      <c r="AK17" s="602"/>
      <c r="AL17" s="602"/>
      <c r="AM17" s="602"/>
      <c r="AN17" s="602"/>
      <c r="AO17" s="602"/>
      <c r="AP17" s="602"/>
      <c r="AQ17" s="602"/>
      <c r="AR17" s="602"/>
      <c r="AS17" s="602"/>
      <c r="AT17" s="602"/>
      <c r="AU17" s="602"/>
      <c r="AV17" s="602"/>
      <c r="AW17" s="602"/>
      <c r="AX17" s="602"/>
      <c r="AY17" s="602"/>
      <c r="AZ17" s="602"/>
      <c r="BA17" s="602"/>
      <c r="BB17" s="602"/>
    </row>
    <row r="18" spans="1:54">
      <c r="A18" s="1"/>
      <c r="B18" s="1"/>
      <c r="C18" s="1"/>
      <c r="D18" s="1"/>
      <c r="E18" s="1"/>
      <c r="F18" s="63"/>
      <c r="G18" s="608" t="s">
        <v>232</v>
      </c>
      <c r="H18" s="111">
        <f>VRF!P37</f>
        <v>4.3120051943321966</v>
      </c>
      <c r="I18" s="111">
        <f>VRF!P38</f>
        <v>2.1776062765361681</v>
      </c>
      <c r="J18" s="128">
        <f>IF(H18="-",0,I18/H18)</f>
        <v>0.50501012368873444</v>
      </c>
      <c r="K18" s="129">
        <f>IF(J18&lt;1,1-J18,0)</f>
        <v>0.49498987631126556</v>
      </c>
      <c r="L18" s="129" t="str">
        <f t="shared" si="5"/>
        <v>Flambagem Lateral</v>
      </c>
      <c r="M18" s="606">
        <f>H18</f>
        <v>4.3120051943321966</v>
      </c>
      <c r="N18" s="146" t="s">
        <v>265</v>
      </c>
      <c r="O18" s="606">
        <f>I18</f>
        <v>2.1776062765361681</v>
      </c>
      <c r="P18" s="129" t="str">
        <f t="shared" si="11"/>
        <v>kN/cm²</v>
      </c>
      <c r="Q18" s="129"/>
      <c r="R18" s="607">
        <f>IF(J18&gt;1,J18,0)</f>
        <v>0</v>
      </c>
      <c r="S18" s="129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20"/>
      <c r="AF18" s="602"/>
      <c r="AG18" s="602"/>
      <c r="AH18" s="602"/>
      <c r="AI18" s="602"/>
      <c r="AJ18" s="602"/>
      <c r="AK18" s="602"/>
      <c r="AL18" s="602"/>
      <c r="AM18" s="602"/>
      <c r="AN18" s="602"/>
      <c r="AO18" s="602"/>
      <c r="AP18" s="602"/>
      <c r="AQ18" s="602"/>
      <c r="AR18" s="602"/>
      <c r="AS18" s="602"/>
      <c r="AT18" s="602"/>
      <c r="AU18" s="602"/>
      <c r="AV18" s="602"/>
      <c r="AW18" s="602"/>
      <c r="AX18" s="602"/>
      <c r="AY18" s="602"/>
      <c r="AZ18" s="602"/>
      <c r="BA18" s="602"/>
      <c r="BB18" s="602"/>
    </row>
    <row r="19" spans="1:54">
      <c r="A19" s="1"/>
      <c r="B19" s="1"/>
      <c r="C19" s="1"/>
      <c r="D19" s="1"/>
      <c r="E19" s="1"/>
      <c r="F19" s="20" t="str">
        <f>IF(OR(J12&gt;1,J13&gt;1,J14&gt;1,J15&gt;1,J16&gt;1,J17&gt;1,J18&gt;1),"Não Atente","Sim Atende")</f>
        <v>Não Atente</v>
      </c>
      <c r="G19" s="614" t="s">
        <v>231</v>
      </c>
      <c r="H19" s="614">
        <v>0</v>
      </c>
      <c r="I19" s="614">
        <f>VRF!H62</f>
        <v>0</v>
      </c>
      <c r="J19" s="616">
        <f>LARGE(J12:J18,1)</f>
        <v>1.5780512250308603</v>
      </c>
      <c r="K19" s="617">
        <f>IF(J19&lt;1,1-J19,0)</f>
        <v>0</v>
      </c>
      <c r="L19" s="614" t="str">
        <f>VLOOKUP(J19,J12:O18,3,0)</f>
        <v>Deslocamento</v>
      </c>
      <c r="M19" s="619">
        <f>ROUNDDOWN(VLOOKUP($J$19,$J$12:$P$18,4,0),2)</f>
        <v>0.51</v>
      </c>
      <c r="N19" s="614" t="str">
        <f>VLOOKUP($J$19,$J$12:$P$18,5,0)</f>
        <v>cm</v>
      </c>
      <c r="O19" s="619">
        <f>ROUNDDOWN(VLOOKUP($J$19,$J$12:$P$18,6,0),2)</f>
        <v>0.81</v>
      </c>
      <c r="P19" s="614" t="str">
        <f>VLOOKUP($J$19,$J$12:$P$18,7,0)</f>
        <v>cm</v>
      </c>
      <c r="Q19" s="614" t="str">
        <f>CONCATENATE("Solicitação ",O19," ",IF(P19=0," ",P19))</f>
        <v>Solicitação 0,81 cm</v>
      </c>
      <c r="R19" s="620">
        <f>IF(J19&gt;1,J19,0)</f>
        <v>1.5780512250308603</v>
      </c>
      <c r="S19" s="614" t="str">
        <f>CONCATENATE("Resistência ",M19," ",IF(N19=0," ",N19))</f>
        <v>Resistência 0,51 cm</v>
      </c>
      <c r="T19" s="1"/>
      <c r="U19" s="1"/>
      <c r="V19" s="1"/>
      <c r="W19" s="1"/>
      <c r="X19" s="1"/>
      <c r="Y19" s="150" t="s">
        <v>237</v>
      </c>
      <c r="Z19" s="150" t="s">
        <v>154</v>
      </c>
      <c r="AA19" s="150" t="s">
        <v>246</v>
      </c>
      <c r="AB19" s="1"/>
      <c r="AC19" s="1"/>
      <c r="AD19" s="1"/>
      <c r="AE19" s="20"/>
      <c r="AF19" s="602"/>
      <c r="AG19" s="602"/>
      <c r="AH19" s="602"/>
      <c r="AI19" s="602"/>
      <c r="AJ19" s="602"/>
      <c r="AK19" s="602"/>
      <c r="AL19" s="602"/>
      <c r="AM19" s="602"/>
      <c r="AN19" s="602"/>
      <c r="AO19" s="602"/>
      <c r="AP19" s="602"/>
      <c r="AQ19" s="602"/>
      <c r="AR19" s="602"/>
      <c r="AS19" s="602"/>
      <c r="AT19" s="602"/>
      <c r="AU19" s="602"/>
      <c r="AV19" s="602"/>
      <c r="AW19" s="602"/>
      <c r="AX19" s="602"/>
      <c r="AY19" s="602"/>
      <c r="AZ19" s="602"/>
      <c r="BA19" s="602"/>
      <c r="BB19" s="602"/>
    </row>
    <row r="20" spans="1:54">
      <c r="A20" s="1"/>
      <c r="B20" s="1"/>
      <c r="C20" s="1"/>
      <c r="D20" s="1"/>
      <c r="E20" s="1"/>
      <c r="F20" s="21"/>
      <c r="G20" s="613" t="s">
        <v>85</v>
      </c>
      <c r="H20" s="150" t="s">
        <v>228</v>
      </c>
      <c r="I20" s="150" t="s">
        <v>229</v>
      </c>
      <c r="J20" s="150" t="s">
        <v>230</v>
      </c>
      <c r="K20" s="150" t="s">
        <v>230</v>
      </c>
      <c r="L20" s="150"/>
      <c r="M20" s="612"/>
      <c r="N20" s="150"/>
      <c r="O20" s="612"/>
      <c r="P20" s="150"/>
      <c r="Q20" s="150"/>
      <c r="R20" s="158"/>
      <c r="S20" s="150"/>
      <c r="T20" s="1"/>
      <c r="U20" s="1"/>
      <c r="V20" s="1"/>
      <c r="W20" s="1"/>
      <c r="X20" s="1"/>
      <c r="Y20" s="623">
        <v>6</v>
      </c>
      <c r="Z20" s="132">
        <f>Y21*(DSB!C8+2*DSB!I6)</f>
        <v>128.39999999999998</v>
      </c>
      <c r="AA20" s="137">
        <f>Z20*DSB!G73</f>
        <v>3851.9999999999991</v>
      </c>
      <c r="AB20" s="1"/>
      <c r="AC20" s="1"/>
      <c r="AD20" s="1"/>
      <c r="AE20" s="20"/>
      <c r="AF20" s="602"/>
      <c r="AG20" s="602"/>
      <c r="AH20" s="602"/>
      <c r="AI20" s="602"/>
      <c r="AJ20" s="602"/>
      <c r="AK20" s="602"/>
      <c r="AL20" s="602"/>
      <c r="AM20" s="602"/>
      <c r="AN20" s="602"/>
      <c r="AO20" s="602"/>
      <c r="AP20" s="602"/>
      <c r="AQ20" s="602"/>
      <c r="AR20" s="602"/>
      <c r="AS20" s="602"/>
      <c r="AT20" s="602"/>
      <c r="AU20" s="602"/>
      <c r="AV20" s="602"/>
      <c r="AW20" s="602"/>
      <c r="AX20" s="602"/>
      <c r="AY20" s="602"/>
      <c r="AZ20" s="602"/>
      <c r="BA20" s="602"/>
      <c r="BB20" s="602"/>
    </row>
    <row r="21" spans="1:54">
      <c r="A21" s="1"/>
      <c r="B21" s="1"/>
      <c r="C21" s="1"/>
      <c r="D21" s="1"/>
      <c r="E21" s="1"/>
      <c r="F21" s="20"/>
      <c r="G21" s="111" t="s">
        <v>125</v>
      </c>
      <c r="H21" s="111">
        <v>1</v>
      </c>
      <c r="I21" s="111">
        <f>IF(VRF!W38&gt;=VRF!W42,VRF!W38,VRF!W42)</f>
        <v>0.58873542423445457</v>
      </c>
      <c r="J21" s="128">
        <f>I21/H21</f>
        <v>0.58873542423445457</v>
      </c>
      <c r="K21" s="129">
        <f t="shared" ref="K21:K27" si="12">IF(J21&lt;1,1-J21,0)</f>
        <v>0.41126457576554543</v>
      </c>
      <c r="L21" s="129" t="str">
        <f t="shared" ref="L21:L26" si="13">G21</f>
        <v>Flexão Oblíqua</v>
      </c>
      <c r="M21" s="606">
        <f t="shared" ref="M21:M26" si="14">H21</f>
        <v>1</v>
      </c>
      <c r="N21" s="129" t="s">
        <v>273</v>
      </c>
      <c r="O21" s="606">
        <f t="shared" ref="O21:O26" si="15">I21</f>
        <v>0.58873542423445457</v>
      </c>
      <c r="P21" s="129" t="str">
        <f>N21</f>
        <v xml:space="preserve"> </v>
      </c>
      <c r="Q21" s="129"/>
      <c r="R21" s="607">
        <f t="shared" ref="R21:R27" si="16">IF(J21&gt;1,J21,0)</f>
        <v>0</v>
      </c>
      <c r="S21" s="129"/>
      <c r="T21" s="1"/>
      <c r="U21" s="1"/>
      <c r="V21" s="1"/>
      <c r="W21" s="1"/>
      <c r="X21" s="1"/>
      <c r="Y21" s="625">
        <f>ROUNDUP(Y20,0)</f>
        <v>6</v>
      </c>
      <c r="Z21" s="1"/>
      <c r="AA21" s="1"/>
      <c r="AB21" s="1"/>
      <c r="AC21" s="1"/>
      <c r="AD21" s="1"/>
      <c r="AE21" s="20"/>
      <c r="AF21" s="602"/>
      <c r="AG21" s="602"/>
      <c r="AH21" s="602"/>
      <c r="AI21" s="602"/>
      <c r="AJ21" s="602"/>
      <c r="AK21" s="602"/>
      <c r="AL21" s="602"/>
      <c r="AM21" s="602"/>
      <c r="AN21" s="602"/>
      <c r="AO21" s="602"/>
      <c r="AP21" s="602"/>
      <c r="AQ21" s="602"/>
      <c r="AR21" s="602"/>
      <c r="AS21" s="602"/>
      <c r="AT21" s="602"/>
      <c r="AU21" s="602"/>
      <c r="AV21" s="602"/>
      <c r="AW21" s="602"/>
      <c r="AX21" s="602"/>
      <c r="AY21" s="602"/>
      <c r="AZ21" s="602"/>
      <c r="BA21" s="602"/>
      <c r="BB21" s="602"/>
    </row>
    <row r="22" spans="1:54">
      <c r="A22" s="1"/>
      <c r="B22" s="1"/>
      <c r="C22" s="1"/>
      <c r="D22" s="1"/>
      <c r="E22" s="1"/>
      <c r="F22" s="20"/>
      <c r="G22" s="111" t="s">
        <v>101</v>
      </c>
      <c r="H22" s="111">
        <f>VRF!U46</f>
        <v>0.17499999999999999</v>
      </c>
      <c r="I22" s="111">
        <f>VRF!U47</f>
        <v>3.3950713184696404E-2</v>
      </c>
      <c r="J22" s="128">
        <f t="shared" ref="J22:J25" si="17">I22/H22</f>
        <v>0.19400407534112232</v>
      </c>
      <c r="K22" s="129">
        <f t="shared" si="12"/>
        <v>0.8059959246588777</v>
      </c>
      <c r="L22" s="129" t="str">
        <f t="shared" si="13"/>
        <v>Cisalhamento</v>
      </c>
      <c r="M22" s="606">
        <f t="shared" si="14"/>
        <v>0.17499999999999999</v>
      </c>
      <c r="N22" s="146" t="s">
        <v>265</v>
      </c>
      <c r="O22" s="606">
        <f t="shared" si="15"/>
        <v>3.3950713184696404E-2</v>
      </c>
      <c r="P22" s="129" t="str">
        <f t="shared" ref="P22:P25" si="18">N22</f>
        <v>kN/cm²</v>
      </c>
      <c r="Q22" s="129"/>
      <c r="R22" s="607">
        <f t="shared" si="16"/>
        <v>0</v>
      </c>
      <c r="S22" s="129"/>
      <c r="T22" s="1"/>
      <c r="U22" s="1"/>
      <c r="V22" s="1"/>
      <c r="W22" s="1"/>
      <c r="X22" s="1"/>
      <c r="Y22" s="20">
        <v>1</v>
      </c>
      <c r="Z22" s="20">
        <v>0.93</v>
      </c>
      <c r="AA22" s="626">
        <f>Z22/Y22</f>
        <v>0.93</v>
      </c>
      <c r="AB22" s="627">
        <f>IF(AA22&lt;1,1-AA22,0)</f>
        <v>6.9999999999999951E-2</v>
      </c>
      <c r="AC22" s="1"/>
      <c r="AD22" s="1"/>
      <c r="AE22" s="20"/>
      <c r="AF22" s="602"/>
      <c r="AG22" s="602"/>
      <c r="AH22" s="602"/>
      <c r="AI22" s="602"/>
      <c r="AJ22" s="602"/>
      <c r="AK22" s="602"/>
      <c r="AL22" s="602"/>
      <c r="AM22" s="602"/>
      <c r="AN22" s="602"/>
      <c r="AO22" s="602"/>
      <c r="AP22" s="602"/>
      <c r="AQ22" s="602"/>
      <c r="AR22" s="602"/>
      <c r="AS22" s="602"/>
      <c r="AT22" s="602"/>
      <c r="AU22" s="602"/>
      <c r="AV22" s="602"/>
      <c r="AW22" s="602"/>
      <c r="AX22" s="602"/>
      <c r="AY22" s="602"/>
      <c r="AZ22" s="602"/>
      <c r="BA22" s="602"/>
      <c r="BB22" s="602"/>
    </row>
    <row r="23" spans="1:54">
      <c r="A23" s="1"/>
      <c r="B23" s="1"/>
      <c r="C23" s="1"/>
      <c r="D23" s="1"/>
      <c r="E23" s="1"/>
      <c r="F23" s="20"/>
      <c r="G23" s="111" t="s">
        <v>102</v>
      </c>
      <c r="H23" s="111">
        <f>VRF!Y50</f>
        <v>0.83333333333333337</v>
      </c>
      <c r="I23" s="111">
        <f>VRF!Y51</f>
        <v>0.46263734596154443</v>
      </c>
      <c r="J23" s="128">
        <f t="shared" si="17"/>
        <v>0.5551648151538533</v>
      </c>
      <c r="K23" s="129">
        <f t="shared" si="12"/>
        <v>0.4448351848461467</v>
      </c>
      <c r="L23" s="129" t="str">
        <f t="shared" si="13"/>
        <v>Deslocamento</v>
      </c>
      <c r="M23" s="606">
        <f t="shared" si="14"/>
        <v>0.83333333333333337</v>
      </c>
      <c r="N23" s="147" t="s">
        <v>266</v>
      </c>
      <c r="O23" s="606">
        <f t="shared" si="15"/>
        <v>0.46263734596154443</v>
      </c>
      <c r="P23" s="129" t="str">
        <f t="shared" si="18"/>
        <v>cm</v>
      </c>
      <c r="Q23" s="129"/>
      <c r="R23" s="607">
        <f t="shared" si="16"/>
        <v>0</v>
      </c>
      <c r="S23" s="129"/>
      <c r="T23" s="1"/>
      <c r="U23" s="1"/>
      <c r="V23" s="1"/>
      <c r="W23" s="1"/>
      <c r="X23" s="1"/>
      <c r="Y23" s="20"/>
      <c r="Z23" s="20"/>
      <c r="AA23" s="1"/>
      <c r="AB23" s="1"/>
      <c r="AC23" s="1"/>
      <c r="AD23" s="1"/>
      <c r="AE23" s="20"/>
      <c r="AF23" s="602"/>
      <c r="AG23" s="602"/>
      <c r="AH23" s="602"/>
      <c r="AI23" s="602"/>
      <c r="AJ23" s="602"/>
      <c r="AK23" s="602"/>
      <c r="AL23" s="602"/>
      <c r="AM23" s="602"/>
      <c r="AN23" s="602"/>
      <c r="AO23" s="602"/>
      <c r="AP23" s="602"/>
      <c r="AQ23" s="602"/>
      <c r="AR23" s="602"/>
      <c r="AS23" s="602"/>
      <c r="AT23" s="602"/>
      <c r="AU23" s="602"/>
      <c r="AV23" s="602"/>
      <c r="AW23" s="602"/>
      <c r="AX23" s="602"/>
      <c r="AY23" s="602"/>
      <c r="AZ23" s="602"/>
      <c r="BA23" s="602"/>
      <c r="BB23" s="602"/>
    </row>
    <row r="24" spans="1:54">
      <c r="A24" s="1"/>
      <c r="B24" s="1"/>
      <c r="C24" s="1"/>
      <c r="D24" s="1"/>
      <c r="E24" s="1"/>
      <c r="F24" s="20"/>
      <c r="G24" s="111" t="s">
        <v>233</v>
      </c>
      <c r="H24" s="111">
        <f>VRF!U51</f>
        <v>0.4</v>
      </c>
      <c r="I24" s="111">
        <f>VRF!U55</f>
        <v>1.0242757537077898E-2</v>
      </c>
      <c r="J24" s="128">
        <f t="shared" si="17"/>
        <v>2.5606893842694742E-2</v>
      </c>
      <c r="K24" s="129">
        <f t="shared" si="12"/>
        <v>0.97439310615730523</v>
      </c>
      <c r="L24" s="129" t="str">
        <f t="shared" si="13"/>
        <v>Compressão normal às fibras x</v>
      </c>
      <c r="M24" s="606">
        <f t="shared" si="14"/>
        <v>0.4</v>
      </c>
      <c r="N24" s="146" t="s">
        <v>265</v>
      </c>
      <c r="O24" s="606">
        <f t="shared" si="15"/>
        <v>1.0242757537077898E-2</v>
      </c>
      <c r="P24" s="129" t="str">
        <f t="shared" si="18"/>
        <v>kN/cm²</v>
      </c>
      <c r="Q24" s="129"/>
      <c r="R24" s="607">
        <f t="shared" si="16"/>
        <v>0</v>
      </c>
      <c r="S24" s="12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0"/>
      <c r="AF24" s="602"/>
      <c r="AG24" s="602"/>
      <c r="AH24" s="602"/>
      <c r="AI24" s="602"/>
      <c r="AJ24" s="602"/>
      <c r="AK24" s="602"/>
      <c r="AL24" s="602"/>
      <c r="AM24" s="602"/>
      <c r="AN24" s="602"/>
      <c r="AO24" s="602"/>
      <c r="AP24" s="602"/>
      <c r="AQ24" s="602"/>
      <c r="AR24" s="602"/>
      <c r="AS24" s="602"/>
      <c r="AT24" s="602"/>
      <c r="AU24" s="602"/>
      <c r="AV24" s="602"/>
      <c r="AW24" s="602"/>
      <c r="AX24" s="602"/>
      <c r="AY24" s="602"/>
      <c r="AZ24" s="602"/>
      <c r="BA24" s="602"/>
      <c r="BB24" s="602"/>
    </row>
    <row r="25" spans="1:54">
      <c r="A25" s="1"/>
      <c r="B25" s="1"/>
      <c r="C25" s="1"/>
      <c r="D25" s="1"/>
      <c r="E25" s="1"/>
      <c r="F25" s="20"/>
      <c r="G25" s="111" t="s">
        <v>234</v>
      </c>
      <c r="H25" s="111">
        <f>VRF!X56</f>
        <v>0.4</v>
      </c>
      <c r="I25" s="111">
        <f>VRF!X60</f>
        <v>9.0535235159190416E-2</v>
      </c>
      <c r="J25" s="128">
        <f t="shared" si="17"/>
        <v>0.22633808789797602</v>
      </c>
      <c r="K25" s="129">
        <f t="shared" si="12"/>
        <v>0.77366191210202395</v>
      </c>
      <c r="L25" s="129" t="str">
        <f t="shared" si="13"/>
        <v>Compressão normal às fibras y</v>
      </c>
      <c r="M25" s="606">
        <f t="shared" si="14"/>
        <v>0.4</v>
      </c>
      <c r="N25" s="146" t="s">
        <v>265</v>
      </c>
      <c r="O25" s="606">
        <f t="shared" si="15"/>
        <v>9.0535235159190416E-2</v>
      </c>
      <c r="P25" s="129" t="str">
        <f t="shared" si="18"/>
        <v>kN/cm²</v>
      </c>
      <c r="Q25" s="129"/>
      <c r="R25" s="607">
        <f t="shared" si="16"/>
        <v>0</v>
      </c>
      <c r="S25" s="129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0"/>
      <c r="AF25" s="602"/>
      <c r="AG25" s="602"/>
      <c r="AH25" s="602"/>
      <c r="AI25" s="602"/>
      <c r="AJ25" s="602"/>
      <c r="AK25" s="602"/>
      <c r="AL25" s="602"/>
      <c r="AM25" s="602"/>
      <c r="AN25" s="602"/>
      <c r="AO25" s="602"/>
      <c r="AP25" s="602"/>
      <c r="AQ25" s="602"/>
      <c r="AR25" s="602"/>
      <c r="AS25" s="602"/>
      <c r="AT25" s="602"/>
      <c r="AU25" s="602"/>
      <c r="AV25" s="602"/>
      <c r="AW25" s="602"/>
      <c r="AX25" s="602"/>
      <c r="AY25" s="602"/>
      <c r="AZ25" s="602"/>
      <c r="BA25" s="602"/>
      <c r="BB25" s="602"/>
    </row>
    <row r="26" spans="1:54">
      <c r="A26" s="1"/>
      <c r="B26" s="1"/>
      <c r="C26" s="1"/>
      <c r="D26" s="1"/>
      <c r="E26" s="1"/>
      <c r="F26" s="63"/>
      <c r="G26" s="608" t="s">
        <v>232</v>
      </c>
      <c r="H26" s="111">
        <f>VRF!U62</f>
        <v>2.5729005995782823</v>
      </c>
      <c r="I26" s="111">
        <f>VRF!U63</f>
        <v>1.0874199479571192</v>
      </c>
      <c r="J26" s="128">
        <f>IF(H26="-",0,I26/H26)</f>
        <v>0.42264359071444713</v>
      </c>
      <c r="K26" s="129">
        <f t="shared" si="12"/>
        <v>0.57735640928555287</v>
      </c>
      <c r="L26" s="129" t="str">
        <f t="shared" si="13"/>
        <v>Flambagem Lateral</v>
      </c>
      <c r="M26" s="606">
        <f t="shared" si="14"/>
        <v>2.5729005995782823</v>
      </c>
      <c r="N26" s="146" t="s">
        <v>265</v>
      </c>
      <c r="O26" s="606">
        <f t="shared" si="15"/>
        <v>1.0874199479571192</v>
      </c>
      <c r="P26" s="129" t="str">
        <f>N26</f>
        <v>kN/cm²</v>
      </c>
      <c r="Q26" s="129"/>
      <c r="R26" s="607">
        <f t="shared" si="16"/>
        <v>0</v>
      </c>
      <c r="S26" s="129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0"/>
      <c r="AF26" s="602"/>
      <c r="AG26" s="602"/>
      <c r="AH26" s="602"/>
      <c r="AI26" s="602"/>
      <c r="AJ26" s="602"/>
      <c r="AK26" s="602"/>
      <c r="AL26" s="602"/>
      <c r="AM26" s="602"/>
      <c r="AN26" s="602"/>
      <c r="AO26" s="602"/>
      <c r="AP26" s="602"/>
      <c r="AQ26" s="602"/>
      <c r="AR26" s="602"/>
      <c r="AS26" s="602"/>
      <c r="AT26" s="602"/>
      <c r="AU26" s="602"/>
      <c r="AV26" s="602"/>
      <c r="AW26" s="602"/>
      <c r="AX26" s="602"/>
      <c r="AY26" s="602"/>
      <c r="AZ26" s="602"/>
      <c r="BA26" s="602"/>
      <c r="BB26" s="602"/>
    </row>
    <row r="27" spans="1:54">
      <c r="A27" s="1"/>
      <c r="B27" s="1"/>
      <c r="C27" s="1"/>
      <c r="D27" s="1"/>
      <c r="E27" s="1"/>
      <c r="F27" s="20" t="str">
        <f>IF(OR(J21&gt;1,J22&gt;1,J23&gt;1,J24&gt;1,J25&gt;1,J26&gt;1),"Não Atente","Sim Atende")</f>
        <v>Sim Atende</v>
      </c>
      <c r="G27" s="614" t="s">
        <v>231</v>
      </c>
      <c r="H27" s="614">
        <v>0</v>
      </c>
      <c r="I27" s="614">
        <f>VRF!H69</f>
        <v>0</v>
      </c>
      <c r="J27" s="616">
        <f>LARGE(J21:J26,1)</f>
        <v>0.58873542423445457</v>
      </c>
      <c r="K27" s="617">
        <f t="shared" si="12"/>
        <v>0.41126457576554543</v>
      </c>
      <c r="L27" s="614" t="str">
        <f>VLOOKUP(J27,J21:O26,3,0)</f>
        <v>Flexão Oblíqua</v>
      </c>
      <c r="M27" s="619">
        <f>ROUNDDOWN(VLOOKUP($J$27,$J$21:$P$26,4,0),2)</f>
        <v>1</v>
      </c>
      <c r="N27" s="614" t="str">
        <f>VLOOKUP($J$27,$J$21:$P$26,5,0)</f>
        <v xml:space="preserve"> </v>
      </c>
      <c r="O27" s="619">
        <f>ROUNDDOWN(VLOOKUP($J$27,$J$21:$P$26,6,0),2)</f>
        <v>0.57999999999999996</v>
      </c>
      <c r="P27" s="614" t="str">
        <f>VLOOKUP($J$27,$J$21:$P$26,7,0)</f>
        <v xml:space="preserve"> </v>
      </c>
      <c r="Q27" s="614" t="str">
        <f>CONCATENATE("Solicitação ",O27," ",IF(P27=0," ",P27))</f>
        <v xml:space="preserve">Solicitação 0,58  </v>
      </c>
      <c r="R27" s="620">
        <f t="shared" si="16"/>
        <v>0</v>
      </c>
      <c r="S27" s="614" t="str">
        <f>CONCATENATE("Resistência ",M27," ",IF(N27=0," ",N27))</f>
        <v xml:space="preserve">Resistência 1  </v>
      </c>
      <c r="T27" s="1"/>
      <c r="U27" s="1"/>
      <c r="V27" s="1"/>
      <c r="W27" s="1"/>
      <c r="X27" s="1"/>
      <c r="Y27" s="150" t="s">
        <v>237</v>
      </c>
      <c r="Z27" s="150" t="s">
        <v>154</v>
      </c>
      <c r="AA27" s="150" t="s">
        <v>246</v>
      </c>
      <c r="AB27" s="1"/>
      <c r="AC27" s="1"/>
      <c r="AD27" s="1"/>
      <c r="AE27" s="20"/>
      <c r="AF27" s="602"/>
      <c r="AG27" s="602"/>
      <c r="AH27" s="602"/>
      <c r="AI27" s="602"/>
      <c r="AJ27" s="602"/>
      <c r="AK27" s="602"/>
      <c r="AL27" s="602"/>
      <c r="AM27" s="602"/>
      <c r="AN27" s="602"/>
      <c r="AO27" s="602"/>
      <c r="AP27" s="602"/>
      <c r="AQ27" s="602"/>
      <c r="AR27" s="602"/>
      <c r="AS27" s="602"/>
      <c r="AT27" s="602"/>
      <c r="AU27" s="602"/>
      <c r="AV27" s="602"/>
      <c r="AW27" s="602"/>
      <c r="AX27" s="602"/>
      <c r="AY27" s="602"/>
      <c r="AZ27" s="602"/>
      <c r="BA27" s="602"/>
      <c r="BB27" s="602"/>
    </row>
    <row r="28" spans="1:54">
      <c r="A28" s="1"/>
      <c r="B28" s="1"/>
      <c r="C28" s="1"/>
      <c r="D28" s="1"/>
      <c r="E28" s="1"/>
      <c r="F28" s="20"/>
      <c r="G28" s="150" t="s">
        <v>86</v>
      </c>
      <c r="H28" s="150" t="s">
        <v>228</v>
      </c>
      <c r="I28" s="150" t="s">
        <v>229</v>
      </c>
      <c r="J28" s="150" t="s">
        <v>230</v>
      </c>
      <c r="K28" s="150" t="s">
        <v>230</v>
      </c>
      <c r="L28" s="150"/>
      <c r="M28" s="612"/>
      <c r="N28" s="150"/>
      <c r="O28" s="612"/>
      <c r="P28" s="150"/>
      <c r="Q28" s="150"/>
      <c r="R28" s="158"/>
      <c r="S28" s="150"/>
      <c r="T28" s="1"/>
      <c r="U28" s="1"/>
      <c r="V28" s="1"/>
      <c r="W28" s="1"/>
      <c r="X28" s="1"/>
      <c r="Y28" s="623">
        <f>(DSB!C8-DSB!I8)/DSB!C36+1</f>
        <v>8.9599999999999991</v>
      </c>
      <c r="Z28" s="132">
        <f>Y29*AXA!C25</f>
        <v>144.30593379486763</v>
      </c>
      <c r="AA28" s="137">
        <f>Z28*DSB!G75</f>
        <v>4329.178013846029</v>
      </c>
      <c r="AB28" s="1"/>
      <c r="AC28" s="1"/>
      <c r="AD28" s="1"/>
      <c r="AE28" s="20"/>
      <c r="AF28" s="602"/>
      <c r="AG28" s="602"/>
      <c r="AH28" s="602"/>
      <c r="AI28" s="602"/>
      <c r="AJ28" s="602"/>
      <c r="AK28" s="602"/>
      <c r="AL28" s="602"/>
      <c r="AM28" s="602"/>
      <c r="AN28" s="602"/>
      <c r="AO28" s="602"/>
      <c r="AP28" s="602"/>
      <c r="AQ28" s="602"/>
      <c r="AR28" s="602"/>
      <c r="AS28" s="602"/>
      <c r="AT28" s="602"/>
      <c r="AU28" s="602"/>
      <c r="AV28" s="602"/>
      <c r="AW28" s="602"/>
      <c r="AX28" s="602"/>
      <c r="AY28" s="602"/>
      <c r="AZ28" s="602"/>
      <c r="BA28" s="602"/>
      <c r="BB28" s="602"/>
    </row>
    <row r="29" spans="1:54">
      <c r="A29" s="1"/>
      <c r="B29" s="1"/>
      <c r="C29" s="1"/>
      <c r="D29" s="1"/>
      <c r="E29" s="1"/>
      <c r="F29" s="20"/>
      <c r="G29" s="111" t="s">
        <v>415</v>
      </c>
      <c r="H29" s="111">
        <f>VRF!AC22</f>
        <v>1.6</v>
      </c>
      <c r="I29" s="111">
        <f>VRF!AC23</f>
        <v>0.39587749118358212</v>
      </c>
      <c r="J29" s="128">
        <f t="shared" ref="J29:J33" si="19">I29/H29</f>
        <v>0.24742343198973882</v>
      </c>
      <c r="K29" s="129">
        <f t="shared" ref="K29:K38" si="20">IF(J29&lt;1,1-J29,0)</f>
        <v>0.75257656801026118</v>
      </c>
      <c r="L29" s="129" t="str">
        <f t="shared" ref="L29:L40" si="21">G29</f>
        <v>Tração - Barra 1</v>
      </c>
      <c r="M29" s="606">
        <f t="shared" ref="M29:M40" si="22">H29</f>
        <v>1.6</v>
      </c>
      <c r="N29" s="146" t="s">
        <v>265</v>
      </c>
      <c r="O29" s="606">
        <f t="shared" ref="O29:O40" si="23">I29</f>
        <v>0.39587749118358212</v>
      </c>
      <c r="P29" s="129" t="str">
        <f t="shared" ref="P29:P37" si="24">N29</f>
        <v>kN/cm²</v>
      </c>
      <c r="Q29" s="129"/>
      <c r="R29" s="607">
        <f t="shared" ref="R29:R37" si="25">IF(J29&gt;1,J29,0)</f>
        <v>0</v>
      </c>
      <c r="S29" s="129"/>
      <c r="T29" s="1"/>
      <c r="U29" s="1"/>
      <c r="V29" s="1"/>
      <c r="W29" s="1"/>
      <c r="X29" s="1"/>
      <c r="Y29" s="624">
        <f>ROUNDUP(Y28,0)</f>
        <v>9</v>
      </c>
      <c r="Z29" s="1"/>
      <c r="AA29" s="1"/>
      <c r="AB29" s="1"/>
      <c r="AC29" s="1"/>
      <c r="AD29" s="1"/>
      <c r="AE29" s="20"/>
      <c r="AF29" s="602"/>
      <c r="AG29" s="602"/>
      <c r="AH29" s="602"/>
      <c r="AI29" s="602"/>
      <c r="AJ29" s="602"/>
      <c r="AK29" s="602"/>
      <c r="AL29" s="602"/>
      <c r="AM29" s="602"/>
      <c r="AN29" s="602"/>
      <c r="AO29" s="602"/>
      <c r="AP29" s="602"/>
      <c r="AQ29" s="602"/>
      <c r="AR29" s="602"/>
      <c r="AS29" s="602"/>
      <c r="AT29" s="602"/>
      <c r="AU29" s="602"/>
      <c r="AV29" s="602"/>
      <c r="AW29" s="602"/>
      <c r="AX29" s="602"/>
      <c r="AY29" s="602"/>
      <c r="AZ29" s="602"/>
      <c r="BA29" s="602"/>
      <c r="BB29" s="602"/>
    </row>
    <row r="30" spans="1:54">
      <c r="A30" s="1"/>
      <c r="B30" s="1"/>
      <c r="C30" s="1"/>
      <c r="D30" s="1"/>
      <c r="E30" s="1"/>
      <c r="F30" s="20"/>
      <c r="G30" s="111" t="s">
        <v>416</v>
      </c>
      <c r="H30" s="111">
        <f>VRF!AF22</f>
        <v>1.6</v>
      </c>
      <c r="I30" s="111">
        <f>VRF!AF23</f>
        <v>7.9622817435793927E-2</v>
      </c>
      <c r="J30" s="128">
        <f t="shared" si="19"/>
        <v>4.9764260897371203E-2</v>
      </c>
      <c r="K30" s="129">
        <f t="shared" si="20"/>
        <v>0.95023573910262882</v>
      </c>
      <c r="L30" s="129" t="str">
        <f t="shared" si="21"/>
        <v>Tração - Barra 5</v>
      </c>
      <c r="M30" s="606">
        <f t="shared" si="22"/>
        <v>1.6</v>
      </c>
      <c r="N30" s="146" t="s">
        <v>265</v>
      </c>
      <c r="O30" s="606">
        <f t="shared" si="23"/>
        <v>7.9622817435793927E-2</v>
      </c>
      <c r="P30" s="129" t="str">
        <f t="shared" si="24"/>
        <v>kN/cm²</v>
      </c>
      <c r="Q30" s="129"/>
      <c r="R30" s="607">
        <f t="shared" si="25"/>
        <v>0</v>
      </c>
      <c r="S30" s="129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0"/>
      <c r="AF30" s="602"/>
      <c r="AG30" s="602"/>
      <c r="AH30" s="602"/>
      <c r="AI30" s="602"/>
      <c r="AJ30" s="602"/>
      <c r="AK30" s="602"/>
      <c r="AL30" s="602"/>
      <c r="AM30" s="602"/>
      <c r="AN30" s="602"/>
      <c r="AO30" s="602"/>
      <c r="AP30" s="602"/>
      <c r="AQ30" s="602"/>
      <c r="AR30" s="602"/>
      <c r="AS30" s="602"/>
      <c r="AT30" s="602"/>
      <c r="AU30" s="602"/>
      <c r="AV30" s="602"/>
      <c r="AW30" s="602"/>
      <c r="AX30" s="602"/>
      <c r="AY30" s="602"/>
      <c r="AZ30" s="602"/>
      <c r="BA30" s="602"/>
      <c r="BB30" s="602"/>
    </row>
    <row r="31" spans="1:54">
      <c r="A31" s="1"/>
      <c r="B31" s="1"/>
      <c r="C31" s="1"/>
      <c r="D31" s="1"/>
      <c r="E31" s="1"/>
      <c r="F31" s="20"/>
      <c r="G31" s="111" t="s">
        <v>413</v>
      </c>
      <c r="H31" s="111">
        <v>173</v>
      </c>
      <c r="I31" s="111">
        <f>VRF!AC28</f>
        <v>102.19099764656376</v>
      </c>
      <c r="J31" s="128">
        <f t="shared" si="19"/>
        <v>0.59069940836164025</v>
      </c>
      <c r="K31" s="129">
        <f t="shared" si="20"/>
        <v>0.40930059163835975</v>
      </c>
      <c r="L31" s="129" t="str">
        <f t="shared" si="21"/>
        <v>Esbeltez no plano - Barra 1</v>
      </c>
      <c r="M31" s="606">
        <f t="shared" si="22"/>
        <v>173</v>
      </c>
      <c r="N31" s="146" t="s">
        <v>273</v>
      </c>
      <c r="O31" s="606">
        <f t="shared" si="23"/>
        <v>102.19099764656376</v>
      </c>
      <c r="P31" s="129" t="str">
        <f t="shared" si="24"/>
        <v xml:space="preserve"> </v>
      </c>
      <c r="Q31" s="129"/>
      <c r="R31" s="607">
        <f t="shared" si="25"/>
        <v>0</v>
      </c>
      <c r="S31" s="129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0"/>
      <c r="AF31" s="602"/>
      <c r="AG31" s="602"/>
      <c r="AH31" s="602"/>
      <c r="AI31" s="602"/>
      <c r="AJ31" s="602"/>
      <c r="AK31" s="602"/>
      <c r="AL31" s="602"/>
      <c r="AM31" s="602"/>
      <c r="AN31" s="602"/>
      <c r="AO31" s="602"/>
      <c r="AP31" s="602"/>
      <c r="AQ31" s="602"/>
      <c r="AR31" s="602"/>
      <c r="AS31" s="602"/>
      <c r="AT31" s="602"/>
      <c r="AU31" s="602"/>
      <c r="AV31" s="602"/>
      <c r="AW31" s="602"/>
      <c r="AX31" s="602"/>
      <c r="AY31" s="602"/>
      <c r="AZ31" s="602"/>
      <c r="BA31" s="602"/>
      <c r="BB31" s="602"/>
    </row>
    <row r="32" spans="1:54">
      <c r="A32" s="1"/>
      <c r="B32" s="1"/>
      <c r="C32" s="1"/>
      <c r="D32" s="1"/>
      <c r="E32" s="1"/>
      <c r="F32" s="20"/>
      <c r="G32" s="111" t="s">
        <v>414</v>
      </c>
      <c r="H32" s="111">
        <v>173</v>
      </c>
      <c r="I32" s="111">
        <f>VRF!AF28</f>
        <v>38.538130468407516</v>
      </c>
      <c r="J32" s="128">
        <f t="shared" si="19"/>
        <v>0.22276375993299141</v>
      </c>
      <c r="K32" s="129">
        <f t="shared" si="20"/>
        <v>0.77723624006700853</v>
      </c>
      <c r="L32" s="129" t="str">
        <f t="shared" si="21"/>
        <v>Esbeltez no plano - Barra 5</v>
      </c>
      <c r="M32" s="606">
        <f t="shared" si="22"/>
        <v>173</v>
      </c>
      <c r="N32" s="146" t="s">
        <v>273</v>
      </c>
      <c r="O32" s="606">
        <f t="shared" si="23"/>
        <v>38.538130468407516</v>
      </c>
      <c r="P32" s="129" t="str">
        <f t="shared" si="24"/>
        <v xml:space="preserve"> </v>
      </c>
      <c r="Q32" s="129"/>
      <c r="R32" s="607">
        <f t="shared" si="25"/>
        <v>0</v>
      </c>
      <c r="S32" s="129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0"/>
      <c r="AF32" s="602"/>
      <c r="AG32" s="602"/>
      <c r="AH32" s="602"/>
      <c r="AI32" s="602"/>
      <c r="AJ32" s="602"/>
      <c r="AK32" s="602"/>
      <c r="AL32" s="602"/>
      <c r="AM32" s="602"/>
      <c r="AN32" s="602"/>
      <c r="AO32" s="602"/>
      <c r="AP32" s="602"/>
      <c r="AQ32" s="602"/>
      <c r="AR32" s="602"/>
      <c r="AS32" s="602"/>
      <c r="AT32" s="602"/>
      <c r="AU32" s="602"/>
      <c r="AV32" s="602"/>
      <c r="AW32" s="602"/>
      <c r="AX32" s="602"/>
      <c r="AY32" s="602"/>
      <c r="AZ32" s="602"/>
      <c r="BA32" s="602"/>
      <c r="BB32" s="602"/>
    </row>
    <row r="33" spans="1:54">
      <c r="A33" s="1"/>
      <c r="B33" s="1"/>
      <c r="C33" s="1"/>
      <c r="D33" s="1"/>
      <c r="E33" s="1"/>
      <c r="F33" s="20"/>
      <c r="G33" s="111" t="s">
        <v>421</v>
      </c>
      <c r="H33" s="111">
        <v>173</v>
      </c>
      <c r="I33" s="111">
        <f>VRF!AC35</f>
        <v>127.73874705820469</v>
      </c>
      <c r="J33" s="128">
        <f t="shared" si="19"/>
        <v>0.73837426045205024</v>
      </c>
      <c r="K33" s="129">
        <f t="shared" si="20"/>
        <v>0.26162573954794976</v>
      </c>
      <c r="L33" s="129" t="str">
        <f t="shared" si="21"/>
        <v>Esbeltez fora do plano - Banzo Inferior</v>
      </c>
      <c r="M33" s="606">
        <f t="shared" si="22"/>
        <v>173</v>
      </c>
      <c r="N33" s="146" t="s">
        <v>273</v>
      </c>
      <c r="O33" s="606">
        <f t="shared" si="23"/>
        <v>127.73874705820469</v>
      </c>
      <c r="P33" s="129" t="str">
        <f t="shared" si="24"/>
        <v xml:space="preserve"> </v>
      </c>
      <c r="Q33" s="129"/>
      <c r="R33" s="607">
        <f t="shared" si="25"/>
        <v>0</v>
      </c>
      <c r="S33" s="129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0"/>
      <c r="AF33" s="602"/>
      <c r="AG33" s="602"/>
      <c r="AH33" s="602"/>
      <c r="AI33" s="602"/>
      <c r="AJ33" s="602"/>
      <c r="AK33" s="602"/>
      <c r="AL33" s="602"/>
      <c r="AM33" s="602"/>
      <c r="AN33" s="602"/>
      <c r="AO33" s="602"/>
      <c r="AP33" s="602"/>
      <c r="AQ33" s="602"/>
      <c r="AR33" s="602"/>
      <c r="AS33" s="602"/>
      <c r="AT33" s="602"/>
      <c r="AU33" s="602"/>
      <c r="AV33" s="602"/>
      <c r="AW33" s="602"/>
      <c r="AX33" s="602"/>
      <c r="AY33" s="602"/>
      <c r="AZ33" s="602"/>
      <c r="BA33" s="602"/>
      <c r="BB33" s="602"/>
    </row>
    <row r="34" spans="1:54">
      <c r="A34" s="1"/>
      <c r="B34" s="1"/>
      <c r="C34" s="1"/>
      <c r="D34" s="1"/>
      <c r="E34" s="1"/>
      <c r="F34" s="20"/>
      <c r="G34" s="111" t="s">
        <v>227</v>
      </c>
      <c r="H34" s="111">
        <f>VRF!AD74</f>
        <v>0.4</v>
      </c>
      <c r="I34" s="111">
        <f>VRF!AD78</f>
        <v>0.14556338006621922</v>
      </c>
      <c r="J34" s="128">
        <f>I34/H34</f>
        <v>0.36390845016554801</v>
      </c>
      <c r="K34" s="129">
        <f t="shared" si="20"/>
        <v>0.63609154983445193</v>
      </c>
      <c r="L34" s="129" t="str">
        <f t="shared" si="21"/>
        <v>Compressão normal às fibras</v>
      </c>
      <c r="M34" s="606">
        <f t="shared" si="22"/>
        <v>0.4</v>
      </c>
      <c r="N34" s="146" t="s">
        <v>265</v>
      </c>
      <c r="O34" s="606">
        <f t="shared" si="23"/>
        <v>0.14556338006621922</v>
      </c>
      <c r="P34" s="129" t="str">
        <f t="shared" si="24"/>
        <v>kN/cm²</v>
      </c>
      <c r="Q34" s="129"/>
      <c r="R34" s="607">
        <f t="shared" si="25"/>
        <v>0</v>
      </c>
      <c r="S34" s="129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0"/>
      <c r="AF34" s="602"/>
      <c r="AG34" s="602"/>
      <c r="AH34" s="602"/>
      <c r="AI34" s="602"/>
      <c r="AJ34" s="602"/>
      <c r="AK34" s="602"/>
      <c r="AL34" s="602"/>
      <c r="AM34" s="602"/>
      <c r="AN34" s="602"/>
      <c r="AO34" s="602"/>
      <c r="AP34" s="602"/>
      <c r="AQ34" s="602"/>
      <c r="AR34" s="602"/>
      <c r="AS34" s="602"/>
      <c r="AT34" s="602"/>
      <c r="AU34" s="602"/>
      <c r="AV34" s="602"/>
      <c r="AW34" s="602"/>
      <c r="AX34" s="602"/>
      <c r="AY34" s="602"/>
      <c r="AZ34" s="602"/>
      <c r="BA34" s="602"/>
      <c r="BB34" s="602"/>
    </row>
    <row r="35" spans="1:54">
      <c r="A35" s="1"/>
      <c r="B35" s="1"/>
      <c r="C35" s="1"/>
      <c r="D35" s="1"/>
      <c r="E35" s="1"/>
      <c r="F35" s="20"/>
      <c r="G35" s="111" t="s">
        <v>102</v>
      </c>
      <c r="H35" s="610">
        <f>VRF!AD89</f>
        <v>3.9333333333333331</v>
      </c>
      <c r="I35" s="111">
        <f>VRF!AD90</f>
        <v>0.60809302541552168</v>
      </c>
      <c r="J35" s="128">
        <f>I35/H35</f>
        <v>0.15459992171581061</v>
      </c>
      <c r="K35" s="129">
        <f t="shared" si="20"/>
        <v>0.84540007828418939</v>
      </c>
      <c r="L35" s="129" t="str">
        <f t="shared" si="21"/>
        <v>Deslocamento</v>
      </c>
      <c r="M35" s="606">
        <f t="shared" si="22"/>
        <v>3.9333333333333331</v>
      </c>
      <c r="N35" s="147" t="s">
        <v>266</v>
      </c>
      <c r="O35" s="606">
        <f t="shared" si="23"/>
        <v>0.60809302541552168</v>
      </c>
      <c r="P35" s="129" t="str">
        <f t="shared" si="24"/>
        <v>cm</v>
      </c>
      <c r="Q35" s="129"/>
      <c r="R35" s="607">
        <f t="shared" si="25"/>
        <v>0</v>
      </c>
      <c r="S35" s="129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0"/>
      <c r="AF35" s="602"/>
      <c r="AG35" s="602"/>
      <c r="AH35" s="602"/>
      <c r="AI35" s="602"/>
      <c r="AJ35" s="602"/>
      <c r="AK35" s="602"/>
      <c r="AL35" s="602"/>
      <c r="AM35" s="602"/>
      <c r="AN35" s="602"/>
      <c r="AO35" s="602"/>
      <c r="AP35" s="602"/>
      <c r="AQ35" s="602"/>
      <c r="AR35" s="602"/>
      <c r="AS35" s="602"/>
      <c r="AT35" s="602"/>
      <c r="AU35" s="602"/>
      <c r="AV35" s="602"/>
      <c r="AW35" s="602"/>
      <c r="AX35" s="602"/>
      <c r="AY35" s="602"/>
      <c r="AZ35" s="602"/>
      <c r="BA35" s="602"/>
      <c r="BB35" s="602"/>
    </row>
    <row r="36" spans="1:54">
      <c r="A36" s="1"/>
      <c r="B36" s="1"/>
      <c r="C36" s="1"/>
      <c r="D36" s="1"/>
      <c r="E36" s="1"/>
      <c r="F36" s="63"/>
      <c r="G36" s="608" t="s">
        <v>417</v>
      </c>
      <c r="H36" s="111">
        <f>VRF!AC55</f>
        <v>1.6</v>
      </c>
      <c r="I36" s="111">
        <f>VRF!AC56</f>
        <v>0.50488584384604662</v>
      </c>
      <c r="J36" s="128">
        <f>IF(I36="-",0,I36/H36)</f>
        <v>0.31555365240377914</v>
      </c>
      <c r="K36" s="129">
        <f t="shared" si="20"/>
        <v>0.68444634759622081</v>
      </c>
      <c r="L36" s="129" t="str">
        <f t="shared" si="21"/>
        <v>Compressão - Barra 3</v>
      </c>
      <c r="M36" s="606">
        <f t="shared" si="22"/>
        <v>1.6</v>
      </c>
      <c r="N36" s="146" t="s">
        <v>265</v>
      </c>
      <c r="O36" s="606">
        <f t="shared" si="23"/>
        <v>0.50488584384604662</v>
      </c>
      <c r="P36" s="129" t="str">
        <f t="shared" si="24"/>
        <v>kN/cm²</v>
      </c>
      <c r="Q36" s="129"/>
      <c r="R36" s="607">
        <f t="shared" si="25"/>
        <v>0</v>
      </c>
      <c r="S36" s="129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0"/>
      <c r="AF36" s="602"/>
      <c r="AG36" s="602"/>
      <c r="AH36" s="602"/>
      <c r="AI36" s="602"/>
      <c r="AJ36" s="602"/>
      <c r="AK36" s="602"/>
      <c r="AL36" s="602"/>
      <c r="AM36" s="602"/>
      <c r="AN36" s="602"/>
      <c r="AO36" s="602"/>
      <c r="AP36" s="602"/>
      <c r="AQ36" s="602"/>
      <c r="AR36" s="602"/>
      <c r="AS36" s="602"/>
      <c r="AT36" s="602"/>
      <c r="AU36" s="602"/>
      <c r="AV36" s="602"/>
      <c r="AW36" s="602"/>
      <c r="AX36" s="602"/>
      <c r="AY36" s="602"/>
      <c r="AZ36" s="602"/>
      <c r="BA36" s="602"/>
      <c r="BB36" s="602"/>
    </row>
    <row r="37" spans="1:54">
      <c r="A37" s="1"/>
      <c r="B37" s="1"/>
      <c r="C37" s="1"/>
      <c r="D37" s="1"/>
      <c r="E37" s="1"/>
      <c r="F37" s="63"/>
      <c r="G37" s="608" t="s">
        <v>418</v>
      </c>
      <c r="H37" s="111">
        <f>VRF!AF55</f>
        <v>1.6</v>
      </c>
      <c r="I37" s="111">
        <f>VRF!AF56</f>
        <v>0.16829528128201554</v>
      </c>
      <c r="J37" s="128">
        <f>IF(I37="-",0,I37/H37)</f>
        <v>0.10518455080125971</v>
      </c>
      <c r="K37" s="129">
        <f t="shared" si="20"/>
        <v>0.89481544919874034</v>
      </c>
      <c r="L37" s="129" t="str">
        <f t="shared" si="21"/>
        <v>Compressão - Barra 4</v>
      </c>
      <c r="M37" s="606">
        <f t="shared" si="22"/>
        <v>1.6</v>
      </c>
      <c r="N37" s="146" t="s">
        <v>265</v>
      </c>
      <c r="O37" s="606">
        <f t="shared" si="23"/>
        <v>0.16829528128201554</v>
      </c>
      <c r="P37" s="129" t="str">
        <f t="shared" si="24"/>
        <v>kN/cm²</v>
      </c>
      <c r="Q37" s="129"/>
      <c r="R37" s="607">
        <f t="shared" si="25"/>
        <v>0</v>
      </c>
      <c r="S37" s="129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0"/>
      <c r="AF37" s="602"/>
      <c r="AG37" s="602"/>
      <c r="AH37" s="602"/>
      <c r="AI37" s="602"/>
      <c r="AJ37" s="602"/>
      <c r="AK37" s="602"/>
      <c r="AL37" s="602"/>
      <c r="AM37" s="602"/>
      <c r="AN37" s="602"/>
      <c r="AO37" s="602"/>
      <c r="AP37" s="602"/>
      <c r="AQ37" s="602"/>
      <c r="AR37" s="602"/>
      <c r="AS37" s="602"/>
      <c r="AT37" s="602"/>
      <c r="AU37" s="602"/>
      <c r="AV37" s="602"/>
      <c r="AW37" s="602"/>
      <c r="AX37" s="602"/>
      <c r="AY37" s="602"/>
      <c r="AZ37" s="602"/>
      <c r="BA37" s="602"/>
      <c r="BB37" s="602"/>
    </row>
    <row r="38" spans="1:54">
      <c r="A38" s="1"/>
      <c r="B38" s="1"/>
      <c r="C38" s="1"/>
      <c r="D38" s="1"/>
      <c r="E38" s="1"/>
      <c r="F38" s="20"/>
      <c r="G38" s="111" t="s">
        <v>419</v>
      </c>
      <c r="H38" s="111">
        <v>140</v>
      </c>
      <c r="I38" s="111">
        <f>VRF!AC59</f>
        <v>53.370216413276793</v>
      </c>
      <c r="J38" s="128">
        <f t="shared" ref="J38:J41" si="26">IF(I38="-",0,I38/H38)</f>
        <v>0.38121583152340566</v>
      </c>
      <c r="K38" s="129">
        <f t="shared" si="20"/>
        <v>0.61878416847659434</v>
      </c>
      <c r="L38" s="129" t="str">
        <f t="shared" si="21"/>
        <v>Esbeltez no plano - Barra 3</v>
      </c>
      <c r="M38" s="111">
        <f t="shared" si="22"/>
        <v>140</v>
      </c>
      <c r="N38" s="149"/>
      <c r="O38" s="606">
        <f t="shared" si="23"/>
        <v>53.370216413276793</v>
      </c>
      <c r="P38" s="149"/>
      <c r="Q38" s="149"/>
      <c r="R38" s="149"/>
      <c r="S38" s="149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0"/>
      <c r="AF38" s="602"/>
      <c r="AG38" s="602"/>
      <c r="AH38" s="602"/>
      <c r="AI38" s="602"/>
      <c r="AJ38" s="602"/>
      <c r="AK38" s="602"/>
      <c r="AL38" s="602"/>
      <c r="AM38" s="602"/>
      <c r="AN38" s="602"/>
      <c r="AO38" s="602"/>
      <c r="AP38" s="602"/>
      <c r="AQ38" s="602"/>
      <c r="AR38" s="602"/>
      <c r="AS38" s="602"/>
      <c r="AT38" s="602"/>
      <c r="AU38" s="602"/>
      <c r="AV38" s="602"/>
      <c r="AW38" s="602"/>
      <c r="AX38" s="602"/>
      <c r="AY38" s="602"/>
      <c r="AZ38" s="602"/>
      <c r="BA38" s="602"/>
      <c r="BB38" s="602"/>
    </row>
    <row r="39" spans="1:54">
      <c r="A39" s="1"/>
      <c r="B39" s="1"/>
      <c r="C39" s="1"/>
      <c r="D39" s="1"/>
      <c r="E39" s="1"/>
      <c r="F39" s="20"/>
      <c r="G39" s="111" t="s">
        <v>420</v>
      </c>
      <c r="H39" s="111">
        <v>140</v>
      </c>
      <c r="I39" s="111">
        <f>VRF!AF59</f>
        <v>53.370216413276793</v>
      </c>
      <c r="J39" s="128">
        <f t="shared" si="26"/>
        <v>0.38121583152340566</v>
      </c>
      <c r="K39" s="129">
        <f t="shared" ref="K39:K40" si="27">IF(J39&lt;1,1-J39,0)</f>
        <v>0.61878416847659434</v>
      </c>
      <c r="L39" s="129" t="str">
        <f t="shared" si="21"/>
        <v>Esbeltez no plano - Barra 4</v>
      </c>
      <c r="M39" s="111">
        <f t="shared" si="22"/>
        <v>140</v>
      </c>
      <c r="N39" s="149"/>
      <c r="O39" s="606">
        <f t="shared" si="23"/>
        <v>53.370216413276793</v>
      </c>
      <c r="P39" s="149"/>
      <c r="Q39" s="149"/>
      <c r="R39" s="149"/>
      <c r="S39" s="149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0"/>
      <c r="AF39" s="602"/>
      <c r="AG39" s="602"/>
      <c r="AH39" s="602"/>
      <c r="AI39" s="602"/>
      <c r="AJ39" s="602"/>
      <c r="AK39" s="602"/>
      <c r="AL39" s="602"/>
      <c r="AM39" s="602"/>
      <c r="AN39" s="602"/>
      <c r="AO39" s="602"/>
      <c r="AP39" s="602"/>
      <c r="AQ39" s="602"/>
      <c r="AR39" s="602"/>
      <c r="AS39" s="602"/>
      <c r="AT39" s="602"/>
      <c r="AU39" s="602"/>
      <c r="AV39" s="602"/>
      <c r="AW39" s="602"/>
      <c r="AX39" s="602"/>
      <c r="AY39" s="602"/>
      <c r="AZ39" s="602"/>
      <c r="BA39" s="602"/>
      <c r="BB39" s="602"/>
    </row>
    <row r="40" spans="1:54">
      <c r="A40" s="1"/>
      <c r="B40" s="1"/>
      <c r="C40" s="1"/>
      <c r="D40" s="1"/>
      <c r="E40" s="1"/>
      <c r="F40" s="20"/>
      <c r="G40" s="111" t="s">
        <v>422</v>
      </c>
      <c r="H40" s="111">
        <v>140</v>
      </c>
      <c r="I40" s="111">
        <f>VRF!AC66</f>
        <v>66.712770516595995</v>
      </c>
      <c r="J40" s="128">
        <f t="shared" si="26"/>
        <v>0.4765197894042571</v>
      </c>
      <c r="K40" s="129">
        <f t="shared" si="27"/>
        <v>0.5234802105957429</v>
      </c>
      <c r="L40" s="129" t="str">
        <f t="shared" si="21"/>
        <v>Esbeltez fora do plano - Banzo Superior</v>
      </c>
      <c r="M40" s="111">
        <f t="shared" si="22"/>
        <v>140</v>
      </c>
      <c r="N40" s="149"/>
      <c r="O40" s="606">
        <f t="shared" si="23"/>
        <v>66.712770516595995</v>
      </c>
      <c r="P40" s="149"/>
      <c r="Q40" s="149"/>
      <c r="R40" s="149"/>
      <c r="S40" s="149"/>
      <c r="T40" s="1"/>
      <c r="U40" s="1"/>
      <c r="V40" s="1"/>
      <c r="W40" s="1"/>
      <c r="X40" s="1"/>
      <c r="Y40" s="1"/>
      <c r="Z40" s="1"/>
      <c r="AA40" s="622" t="s">
        <v>56</v>
      </c>
      <c r="AB40" s="137">
        <f>AA3</f>
        <v>1566.6000000000001</v>
      </c>
      <c r="AC40" s="145">
        <f t="shared" ref="AC40:AC45" si="28">(AB40/$AB$45)</f>
        <v>6.0905610526697011E-2</v>
      </c>
      <c r="AD40" s="1"/>
      <c r="AE40" s="20"/>
      <c r="AF40" s="602"/>
      <c r="AG40" s="602"/>
      <c r="AH40" s="602"/>
      <c r="AI40" s="602"/>
      <c r="AJ40" s="602"/>
      <c r="AK40" s="602"/>
      <c r="AL40" s="602"/>
      <c r="AM40" s="602"/>
      <c r="AN40" s="602"/>
      <c r="AO40" s="602"/>
      <c r="AP40" s="602"/>
      <c r="AQ40" s="602"/>
      <c r="AR40" s="602"/>
      <c r="AS40" s="602"/>
      <c r="AT40" s="602"/>
      <c r="AU40" s="602"/>
      <c r="AV40" s="602"/>
      <c r="AW40" s="602"/>
      <c r="AX40" s="602"/>
      <c r="AY40" s="602"/>
      <c r="AZ40" s="602"/>
      <c r="BA40" s="602"/>
      <c r="BB40" s="602"/>
    </row>
    <row r="41" spans="1:54">
      <c r="A41" s="1"/>
      <c r="B41" s="1"/>
      <c r="C41" s="1"/>
      <c r="D41" s="1"/>
      <c r="E41" s="1"/>
      <c r="F41" s="20"/>
      <c r="G41" s="608" t="str">
        <f>H55</f>
        <v>Ligação (Nó F)</v>
      </c>
      <c r="H41" s="629">
        <f>M55</f>
        <v>1.25</v>
      </c>
      <c r="I41" s="606">
        <f>O55</f>
        <v>1.5</v>
      </c>
      <c r="J41" s="128">
        <f t="shared" si="26"/>
        <v>1.2</v>
      </c>
      <c r="K41" s="129">
        <f t="shared" ref="K41" si="29">IF(J41&lt;1,1-J41,0)</f>
        <v>0</v>
      </c>
      <c r="L41" s="129" t="str">
        <f t="shared" ref="L41" si="30">G41</f>
        <v>Ligação (Nó F)</v>
      </c>
      <c r="M41" s="111">
        <f t="shared" ref="M41" si="31">H41</f>
        <v>1.25</v>
      </c>
      <c r="N41" s="111" t="s">
        <v>266</v>
      </c>
      <c r="O41" s="606">
        <f t="shared" ref="O41" si="32">I41</f>
        <v>1.5</v>
      </c>
      <c r="P41" s="111" t="s">
        <v>266</v>
      </c>
      <c r="Q41" s="149"/>
      <c r="R41" s="149"/>
      <c r="S41" s="149"/>
      <c r="T41" s="1"/>
      <c r="U41" s="1"/>
      <c r="V41" s="1"/>
      <c r="W41" s="1"/>
      <c r="X41" s="1"/>
      <c r="Y41" s="1"/>
      <c r="Z41" s="1"/>
      <c r="AA41" s="622" t="s">
        <v>242</v>
      </c>
      <c r="AB41" s="137">
        <f>AA6</f>
        <v>9630</v>
      </c>
      <c r="AC41" s="145">
        <f t="shared" si="28"/>
        <v>0.37439105666544886</v>
      </c>
      <c r="AD41" s="1"/>
      <c r="AE41" s="20"/>
      <c r="AF41" s="602"/>
      <c r="AG41" s="602"/>
      <c r="AH41" s="602"/>
      <c r="AI41" s="602"/>
      <c r="AJ41" s="602"/>
      <c r="AK41" s="602"/>
      <c r="AL41" s="602"/>
      <c r="AM41" s="602"/>
      <c r="AN41" s="602"/>
      <c r="AO41" s="602"/>
      <c r="AP41" s="602"/>
      <c r="AQ41" s="602"/>
      <c r="AR41" s="602"/>
      <c r="AS41" s="602"/>
      <c r="AT41" s="602"/>
      <c r="AU41" s="602"/>
      <c r="AV41" s="602"/>
      <c r="AW41" s="602"/>
      <c r="AX41" s="602"/>
      <c r="AY41" s="602"/>
      <c r="AZ41" s="602"/>
      <c r="BA41" s="602"/>
      <c r="BB41" s="602"/>
    </row>
    <row r="42" spans="1:54">
      <c r="A42" s="1"/>
      <c r="B42" s="1"/>
      <c r="C42" s="1"/>
      <c r="D42" s="1"/>
      <c r="E42" s="1"/>
      <c r="F42" s="20" t="str">
        <f>IF(OR(J29&gt;1,J30&gt;1,J31&gt;1,J32&gt;1,J33&gt;1,J34&gt;1,J35&gt;1,J36&gt;1,J37&gt;1,J38&gt;1,J39&gt;1,J40&gt;1,J41&gt;1),"Não Atente","Sim Atende")</f>
        <v>Não Atente</v>
      </c>
      <c r="G42" s="614" t="s">
        <v>231</v>
      </c>
      <c r="H42" s="614">
        <v>0</v>
      </c>
      <c r="I42" s="614">
        <f>VRF!H77</f>
        <v>0</v>
      </c>
      <c r="J42" s="616">
        <f>LARGE(J29:J41,1)</f>
        <v>1.2</v>
      </c>
      <c r="K42" s="617">
        <f>IF(J42&lt;1,1-J42,0)</f>
        <v>0</v>
      </c>
      <c r="L42" s="614" t="str">
        <f>VLOOKUP(J42,J29:N41,3,0)</f>
        <v>Ligação (Nó F)</v>
      </c>
      <c r="M42" s="619">
        <f>ROUNDDOWN(VLOOKUP($J$42,$J$29:$P$41,4,0),2)</f>
        <v>1.25</v>
      </c>
      <c r="N42" s="614" t="str">
        <f>VLOOKUP($J$42,$J$29:$P$41,5,0)</f>
        <v>cm</v>
      </c>
      <c r="O42" s="619">
        <f>ROUNDDOWN(VLOOKUP($J$42,$J$29:$P$41,6,0),2)</f>
        <v>1.5</v>
      </c>
      <c r="P42" s="614" t="str">
        <f>VLOOKUP($J$42,$J$29:$P$41,7,0)</f>
        <v>cm</v>
      </c>
      <c r="Q42" s="614" t="str">
        <f>CONCATENATE("Solicitação ",O42," ",IF(P42=0," ",P42))</f>
        <v>Solicitação 1,5 cm</v>
      </c>
      <c r="R42" s="620">
        <f>IF(J42&gt;1,J42,0)</f>
        <v>1.2</v>
      </c>
      <c r="S42" s="614" t="str">
        <f>CONCATENATE("Resistência ",M42," ",IF(N42=0," ",N42))</f>
        <v>Resistência 1,25 cm</v>
      </c>
      <c r="T42" s="1"/>
      <c r="U42" s="1"/>
      <c r="V42" s="1"/>
      <c r="W42" s="1"/>
      <c r="X42" s="1"/>
      <c r="Y42" s="1"/>
      <c r="Z42" s="1"/>
      <c r="AA42" s="622" t="s">
        <v>243</v>
      </c>
      <c r="AB42" s="137">
        <f>AA12</f>
        <v>6343.9902510547163</v>
      </c>
      <c r="AC42" s="145">
        <f t="shared" si="28"/>
        <v>0.24663896298729818</v>
      </c>
      <c r="AD42" s="1"/>
      <c r="AE42" s="20"/>
      <c r="AF42" s="602"/>
      <c r="AG42" s="602"/>
      <c r="AH42" s="602"/>
      <c r="AI42" s="602"/>
      <c r="AJ42" s="602"/>
      <c r="AK42" s="602"/>
      <c r="AL42" s="602"/>
      <c r="AM42" s="602"/>
      <c r="AN42" s="602"/>
      <c r="AO42" s="602"/>
      <c r="AP42" s="602"/>
      <c r="AQ42" s="602"/>
      <c r="AR42" s="602"/>
      <c r="AS42" s="602"/>
      <c r="AT42" s="602"/>
      <c r="AU42" s="602"/>
      <c r="AV42" s="602"/>
      <c r="AW42" s="602"/>
      <c r="AX42" s="602"/>
      <c r="AY42" s="602"/>
      <c r="AZ42" s="602"/>
      <c r="BA42" s="602"/>
      <c r="BB42" s="602"/>
    </row>
    <row r="43" spans="1:54" ht="15.6">
      <c r="A43" s="1"/>
      <c r="B43" s="1"/>
      <c r="C43" s="1"/>
      <c r="D43" s="1"/>
      <c r="E43" s="1"/>
      <c r="F43" s="1"/>
      <c r="G43" s="1"/>
      <c r="H43" s="1"/>
      <c r="I43" s="1"/>
      <c r="J43" s="130" t="str">
        <f>IF(OR(J6&gt;1,J7&gt;1,J8&gt;1,J9&gt;1,J12&gt;1,J13&gt;1,J14&gt;1,J15&gt;1,J16&gt;1,J17&gt;1,J18&gt;1,J21&gt;1,J22&gt;1,J23&gt;1,J24&gt;1,J25&gt;1,J26&gt;1,J29&gt;1,J30&gt;1,J31&gt;1,J32&gt;1,J33&gt;1,J34&gt;1,J36&gt;1,J37&gt;1,J38&gt;1,J39&gt;1,J40&gt;1,J41&gt;1),"Dimensionamento NÃO Atende a Todas as Verificações","Dimensionamento Atende a Todas as Verificações")</f>
        <v>Dimensionamento NÃO Atende a Todas as Verificações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622" t="s">
        <v>244</v>
      </c>
      <c r="AB43" s="137">
        <f>AA20</f>
        <v>3851.9999999999991</v>
      </c>
      <c r="AC43" s="145">
        <f t="shared" si="28"/>
        <v>0.1497564226661795</v>
      </c>
      <c r="AD43" s="1"/>
      <c r="AE43" s="20"/>
      <c r="AF43" s="602"/>
      <c r="AG43" s="602"/>
      <c r="AH43" s="602"/>
      <c r="AI43" s="602"/>
      <c r="AJ43" s="602"/>
      <c r="AK43" s="602"/>
      <c r="AL43" s="602"/>
      <c r="AM43" s="602"/>
      <c r="AN43" s="602"/>
      <c r="AO43" s="602"/>
      <c r="AP43" s="602"/>
      <c r="AQ43" s="602"/>
      <c r="AR43" s="602"/>
      <c r="AS43" s="602"/>
      <c r="AT43" s="602"/>
      <c r="AU43" s="602"/>
      <c r="AV43" s="602"/>
      <c r="AW43" s="602"/>
      <c r="AX43" s="602"/>
      <c r="AY43" s="602"/>
      <c r="AZ43" s="602"/>
      <c r="BA43" s="602"/>
      <c r="BB43" s="602"/>
    </row>
    <row r="44" spans="1:5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622" t="s">
        <v>245</v>
      </c>
      <c r="AB44" s="137">
        <f>AA28</f>
        <v>4329.178013846029</v>
      </c>
      <c r="AC44" s="145">
        <f t="shared" si="28"/>
        <v>0.16830794715437633</v>
      </c>
      <c r="AD44" s="1"/>
      <c r="AE44" s="20"/>
      <c r="AF44" s="602"/>
      <c r="AG44" s="602"/>
      <c r="AH44" s="602"/>
      <c r="AI44" s="602"/>
      <c r="AJ44" s="602"/>
      <c r="AK44" s="602"/>
      <c r="AL44" s="602"/>
      <c r="AM44" s="602"/>
      <c r="AN44" s="602"/>
      <c r="AO44" s="602"/>
      <c r="AP44" s="602"/>
      <c r="AQ44" s="602"/>
      <c r="AR44" s="602"/>
      <c r="AS44" s="602"/>
      <c r="AT44" s="602"/>
      <c r="AU44" s="602"/>
      <c r="AV44" s="602"/>
      <c r="AW44" s="602"/>
      <c r="AX44" s="602"/>
      <c r="AY44" s="602"/>
      <c r="AZ44" s="602"/>
      <c r="BA44" s="602"/>
      <c r="BB44" s="602"/>
    </row>
    <row r="45" spans="1:5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50" t="s">
        <v>247</v>
      </c>
      <c r="AB45" s="136">
        <f>AA3+AA6+AA12+AA20+AA28</f>
        <v>25721.768264900747</v>
      </c>
      <c r="AC45" s="145">
        <f t="shared" si="28"/>
        <v>1</v>
      </c>
      <c r="AD45" s="1"/>
      <c r="AE45" s="20"/>
      <c r="AF45" s="602" t="s">
        <v>410</v>
      </c>
      <c r="AG45" s="602"/>
      <c r="AH45" s="602" t="s">
        <v>411</v>
      </c>
      <c r="AI45" s="602"/>
      <c r="AJ45" s="602" t="s">
        <v>412</v>
      </c>
      <c r="AK45" s="602"/>
      <c r="AL45" s="602" t="s">
        <v>126</v>
      </c>
      <c r="AM45" s="602"/>
      <c r="AN45" s="602"/>
      <c r="AO45" s="602"/>
      <c r="AP45" s="602"/>
      <c r="AQ45" s="602"/>
      <c r="AR45" s="602"/>
      <c r="AS45" s="602"/>
      <c r="AT45" s="602"/>
      <c r="AU45" s="602"/>
      <c r="AV45" s="602"/>
      <c r="AW45" s="602"/>
      <c r="AX45" s="602"/>
      <c r="AY45" s="602"/>
      <c r="AZ45" s="602"/>
      <c r="BA45" s="602"/>
      <c r="BB45" s="602"/>
    </row>
    <row r="46" spans="1:5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0"/>
      <c r="AF46" s="602" t="str">
        <f>F10</f>
        <v>Não Atente</v>
      </c>
      <c r="AG46" s="602"/>
      <c r="AH46" s="602" t="str">
        <f>F19</f>
        <v>Não Atente</v>
      </c>
      <c r="AI46" s="602"/>
      <c r="AJ46" s="602" t="str">
        <f>F27</f>
        <v>Sim Atende</v>
      </c>
      <c r="AK46" s="602"/>
      <c r="AL46" s="602" t="str">
        <f>F42</f>
        <v>Não Atente</v>
      </c>
      <c r="AM46" s="602"/>
      <c r="AN46" s="602"/>
      <c r="AO46" s="602"/>
      <c r="AP46" s="602"/>
      <c r="AQ46" s="602"/>
      <c r="AR46" s="602"/>
      <c r="AS46" s="602"/>
      <c r="AT46" s="602"/>
      <c r="AU46" s="602"/>
      <c r="AV46" s="602"/>
      <c r="AW46" s="602"/>
      <c r="AX46" s="602"/>
      <c r="AY46" s="602"/>
      <c r="AZ46" s="602"/>
      <c r="BA46" s="602"/>
      <c r="BB46" s="602"/>
    </row>
    <row r="47" spans="1:5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0"/>
      <c r="AF47" s="602"/>
      <c r="AG47" s="602"/>
      <c r="AH47" s="602"/>
      <c r="AI47" s="602"/>
      <c r="AJ47" s="602"/>
      <c r="AK47" s="602"/>
      <c r="AL47" s="602"/>
      <c r="AM47" s="602"/>
      <c r="AN47" s="602"/>
      <c r="AO47" s="602"/>
      <c r="AP47" s="602"/>
      <c r="AQ47" s="602"/>
      <c r="AR47" s="602"/>
      <c r="AS47" s="602"/>
      <c r="AT47" s="602"/>
      <c r="AU47" s="602"/>
      <c r="AV47" s="602"/>
      <c r="AW47" s="602"/>
      <c r="AX47" s="602"/>
      <c r="AY47" s="602"/>
      <c r="AZ47" s="602"/>
      <c r="BA47" s="602"/>
      <c r="BB47" s="602"/>
    </row>
    <row r="48" spans="1:54" ht="405" customHeight="1">
      <c r="AF48" s="227"/>
      <c r="AH48" s="227"/>
      <c r="AJ48" s="227"/>
      <c r="AL48" s="227"/>
    </row>
    <row r="50" spans="7:19">
      <c r="G50" s="220" t="s">
        <v>562</v>
      </c>
      <c r="H50" s="220" t="s">
        <v>566</v>
      </c>
      <c r="I50" s="220" t="s">
        <v>567</v>
      </c>
      <c r="J50" s="220" t="s">
        <v>230</v>
      </c>
      <c r="K50" s="220" t="s">
        <v>230</v>
      </c>
      <c r="L50" s="220"/>
      <c r="M50" s="220" t="s">
        <v>566</v>
      </c>
      <c r="N50" s="220"/>
      <c r="O50" s="220" t="s">
        <v>567</v>
      </c>
      <c r="P50" s="220"/>
      <c r="Q50" s="220"/>
      <c r="R50" s="222"/>
      <c r="S50" s="220"/>
    </row>
    <row r="51" spans="7:19">
      <c r="G51" s="595" t="s">
        <v>380</v>
      </c>
      <c r="H51" s="599">
        <f>LGC!C22</f>
        <v>2.5</v>
      </c>
      <c r="I51" s="628">
        <f>LGC!C21</f>
        <v>2.5</v>
      </c>
      <c r="J51" s="222">
        <f t="shared" ref="J51" si="33">IF(I51="-",0,I51/H51)</f>
        <v>1</v>
      </c>
      <c r="K51" s="223">
        <f t="shared" ref="K51" si="34">IF(J51&lt;1,1-J51,0)</f>
        <v>0</v>
      </c>
      <c r="L51" s="223" t="str">
        <f t="shared" ref="L51" si="35">G51</f>
        <v>Nó A</v>
      </c>
      <c r="M51" s="220">
        <f t="shared" ref="M51" si="36">H51</f>
        <v>2.5</v>
      </c>
      <c r="N51" s="220" t="s">
        <v>266</v>
      </c>
      <c r="O51" s="224">
        <f t="shared" ref="O51" si="37">I51</f>
        <v>2.5</v>
      </c>
      <c r="P51" s="220" t="s">
        <v>266</v>
      </c>
      <c r="Q51" s="221"/>
      <c r="R51" s="221"/>
      <c r="S51" s="221"/>
    </row>
    <row r="52" spans="7:19">
      <c r="G52" s="595" t="s">
        <v>383</v>
      </c>
      <c r="H52" s="599">
        <f>LGC!I22</f>
        <v>1.25</v>
      </c>
      <c r="I52" s="628">
        <f>LGC!I21</f>
        <v>1.5</v>
      </c>
      <c r="J52" s="222">
        <f t="shared" ref="J52:J54" si="38">IF(I52="-",0,I52/H52)</f>
        <v>1.2</v>
      </c>
      <c r="K52" s="223">
        <f t="shared" ref="K52:K55" si="39">IF(J52&lt;1,1-J52,0)</f>
        <v>0</v>
      </c>
      <c r="L52" s="223" t="str">
        <f t="shared" ref="L52:L54" si="40">G52</f>
        <v>Nó F</v>
      </c>
      <c r="M52" s="220">
        <f t="shared" ref="M52:M54" si="41">H52</f>
        <v>1.25</v>
      </c>
      <c r="N52" s="220" t="s">
        <v>266</v>
      </c>
      <c r="O52" s="224">
        <f t="shared" ref="O52:O54" si="42">I52</f>
        <v>1.5</v>
      </c>
      <c r="P52" s="220" t="s">
        <v>266</v>
      </c>
      <c r="Q52" s="221"/>
      <c r="R52" s="221"/>
      <c r="S52" s="221"/>
    </row>
    <row r="53" spans="7:19">
      <c r="G53" s="595" t="s">
        <v>382</v>
      </c>
      <c r="H53" s="599">
        <f>LGC!C46</f>
        <v>2.5</v>
      </c>
      <c r="I53" s="628">
        <f>LGC!C45</f>
        <v>1.5</v>
      </c>
      <c r="J53" s="222">
        <f t="shared" si="38"/>
        <v>0.6</v>
      </c>
      <c r="K53" s="223">
        <f t="shared" si="39"/>
        <v>0.4</v>
      </c>
      <c r="L53" s="223" t="str">
        <f t="shared" si="40"/>
        <v>Nó D</v>
      </c>
      <c r="M53" s="220">
        <f t="shared" si="41"/>
        <v>2.5</v>
      </c>
      <c r="N53" s="220" t="s">
        <v>266</v>
      </c>
      <c r="O53" s="224">
        <f t="shared" si="42"/>
        <v>1.5</v>
      </c>
      <c r="P53" s="220" t="s">
        <v>266</v>
      </c>
      <c r="Q53" s="221"/>
      <c r="R53" s="221"/>
      <c r="S53" s="221"/>
    </row>
    <row r="54" spans="7:19">
      <c r="G54" s="595" t="s">
        <v>381</v>
      </c>
      <c r="H54" s="599">
        <f>LGC!I46</f>
        <v>1.25</v>
      </c>
      <c r="I54" s="628">
        <f>LGC!I45</f>
        <v>1</v>
      </c>
      <c r="J54" s="222">
        <f t="shared" si="38"/>
        <v>0.8</v>
      </c>
      <c r="K54" s="223">
        <f t="shared" si="39"/>
        <v>0.19999999999999996</v>
      </c>
      <c r="L54" s="223" t="str">
        <f t="shared" si="40"/>
        <v>Nó B</v>
      </c>
      <c r="M54" s="220">
        <f t="shared" si="41"/>
        <v>1.25</v>
      </c>
      <c r="N54" s="220" t="s">
        <v>266</v>
      </c>
      <c r="O54" s="224">
        <f t="shared" si="42"/>
        <v>1</v>
      </c>
      <c r="P54" s="220" t="s">
        <v>266</v>
      </c>
      <c r="Q54" s="221"/>
      <c r="R54" s="221"/>
      <c r="S54" s="221"/>
    </row>
    <row r="55" spans="7:19">
      <c r="G55" s="596" t="s">
        <v>563</v>
      </c>
      <c r="H55" s="630" t="str">
        <f>CONCATENATE("Ligação (",L55,")")</f>
        <v>Ligação (Nó F)</v>
      </c>
      <c r="I55" s="226"/>
      <c r="J55" s="597">
        <f>LARGE(J51:J54,1)</f>
        <v>1.2</v>
      </c>
      <c r="K55" s="598">
        <f t="shared" si="39"/>
        <v>0</v>
      </c>
      <c r="L55" s="220" t="str">
        <f>VLOOKUP(J55,J51:N54,3,0)</f>
        <v>Nó F</v>
      </c>
      <c r="M55" s="224">
        <f>ROUNDDOWN(VLOOKUP($J$55,$J$51:$P$54,4,0),2)</f>
        <v>1.25</v>
      </c>
      <c r="N55" s="220" t="s">
        <v>266</v>
      </c>
      <c r="O55" s="224">
        <f>ROUNDDOWN(VLOOKUP($J$55,$J$51:$P$54,6,0),2)</f>
        <v>1.5</v>
      </c>
      <c r="P55" s="220" t="s">
        <v>266</v>
      </c>
      <c r="Q55" s="220" t="str">
        <f>CONCATENATE("Solicitação ",O55," ",IF(P55=0," ",P55))</f>
        <v>Solicitação 1,5 cm</v>
      </c>
      <c r="R55" s="225">
        <f>IF(J55&gt;1,J55,0)</f>
        <v>1.2</v>
      </c>
      <c r="S55" s="220" t="str">
        <f>CONCATENATE("Resistência ",M55," ",IF(N55=0," ",N55))</f>
        <v>Resistência 1,25 cm</v>
      </c>
    </row>
    <row r="79" spans="23:29">
      <c r="W79" s="226"/>
      <c r="X79" s="226"/>
      <c r="Y79" s="226"/>
      <c r="Z79" s="226"/>
      <c r="AA79" s="226"/>
      <c r="AB79" s="226"/>
      <c r="AC79" s="226"/>
    </row>
    <row r="80" spans="23:29">
      <c r="W80" s="226"/>
      <c r="X80" s="226"/>
      <c r="Y80" s="226"/>
      <c r="Z80" s="226"/>
      <c r="AA80" s="226"/>
      <c r="AB80" s="226"/>
      <c r="AC80" s="226"/>
    </row>
    <row r="81" spans="23:29">
      <c r="W81" s="226"/>
      <c r="X81" s="226"/>
      <c r="Y81" s="226"/>
      <c r="Z81" s="226"/>
      <c r="AA81" s="226"/>
      <c r="AB81" s="226"/>
      <c r="AC81" s="226"/>
    </row>
    <row r="82" spans="23:29">
      <c r="W82" s="226"/>
      <c r="X82" s="226"/>
      <c r="Y82" s="226"/>
      <c r="Z82" s="226"/>
      <c r="AA82" s="226"/>
      <c r="AB82" s="226"/>
      <c r="AC82" s="226"/>
    </row>
    <row r="83" spans="23:29">
      <c r="W83" s="226"/>
      <c r="X83" s="226"/>
      <c r="Y83" s="226"/>
      <c r="Z83" s="226"/>
      <c r="AA83" s="226"/>
      <c r="AB83" s="226"/>
      <c r="AC83" s="226"/>
    </row>
    <row r="84" spans="23:29">
      <c r="W84" s="226"/>
      <c r="X84" s="226"/>
      <c r="Y84" s="226"/>
      <c r="Z84" s="226"/>
      <c r="AA84" s="226"/>
      <c r="AB84" s="226"/>
      <c r="AC84" s="226"/>
    </row>
    <row r="85" spans="23:29">
      <c r="W85" s="226"/>
      <c r="X85" s="226"/>
      <c r="Y85" s="226"/>
      <c r="Z85" s="226"/>
      <c r="AA85" s="226"/>
      <c r="AB85" s="226"/>
      <c r="AC85" s="226"/>
    </row>
    <row r="86" spans="23:29">
      <c r="W86" s="226"/>
      <c r="X86" s="226"/>
      <c r="Y86" s="226"/>
      <c r="Z86" s="226"/>
      <c r="AA86" s="226"/>
      <c r="AB86" s="226"/>
      <c r="AC86" s="226"/>
    </row>
    <row r="87" spans="23:29">
      <c r="W87" s="226"/>
      <c r="X87" s="226"/>
      <c r="Y87" s="226"/>
      <c r="Z87" s="226"/>
      <c r="AA87" s="226"/>
      <c r="AB87" s="226"/>
      <c r="AC87" s="226"/>
    </row>
    <row r="88" spans="23:29">
      <c r="W88" s="226"/>
      <c r="X88" s="226"/>
      <c r="Y88" s="226"/>
      <c r="Z88" s="226"/>
      <c r="AA88" s="226"/>
      <c r="AB88" s="226"/>
      <c r="AC88" s="226"/>
    </row>
    <row r="89" spans="23:29">
      <c r="W89" s="226"/>
      <c r="X89" s="226"/>
      <c r="Y89" s="226"/>
      <c r="Z89" s="226"/>
      <c r="AA89" s="226"/>
      <c r="AB89" s="226"/>
      <c r="AC89" s="226"/>
    </row>
    <row r="90" spans="23:29">
      <c r="W90" s="226"/>
      <c r="X90" s="226"/>
      <c r="Y90" s="226"/>
      <c r="Z90" s="226"/>
      <c r="AA90" s="226"/>
      <c r="AB90" s="226"/>
      <c r="AC90" s="226"/>
    </row>
    <row r="91" spans="23:29">
      <c r="W91" s="226"/>
      <c r="X91" s="226"/>
      <c r="Y91" s="226"/>
      <c r="Z91" s="226"/>
      <c r="AA91" s="226"/>
      <c r="AB91" s="226"/>
      <c r="AC91" s="226"/>
    </row>
    <row r="92" spans="23:29">
      <c r="W92" s="226"/>
      <c r="X92" s="226"/>
      <c r="Y92" s="226"/>
      <c r="Z92" s="226"/>
      <c r="AA92" s="226"/>
      <c r="AB92" s="226"/>
      <c r="AC92" s="226"/>
    </row>
    <row r="93" spans="23:29">
      <c r="W93" s="226"/>
      <c r="X93" s="226"/>
      <c r="Y93" s="226"/>
      <c r="Z93" s="226"/>
      <c r="AA93" s="226"/>
      <c r="AB93" s="226"/>
      <c r="AC93" s="226"/>
    </row>
    <row r="94" spans="23:29">
      <c r="W94" s="226"/>
      <c r="X94" s="226"/>
      <c r="Y94" s="226"/>
      <c r="Z94" s="226"/>
      <c r="AA94" s="226"/>
      <c r="AB94" s="226"/>
      <c r="AC94" s="226"/>
    </row>
    <row r="95" spans="23:29">
      <c r="W95" s="226"/>
      <c r="X95" s="226"/>
      <c r="Y95" s="226"/>
      <c r="Z95" s="226"/>
      <c r="AA95" s="226"/>
      <c r="AB95" s="226"/>
      <c r="AC95" s="226"/>
    </row>
    <row r="96" spans="23:29">
      <c r="W96" s="226"/>
      <c r="X96" s="226"/>
      <c r="Y96" s="226"/>
      <c r="Z96" s="226"/>
      <c r="AA96" s="226"/>
      <c r="AB96" s="226"/>
      <c r="AC96" s="226"/>
    </row>
    <row r="97" spans="23:29">
      <c r="W97" s="226"/>
      <c r="X97" s="226"/>
      <c r="Y97" s="226"/>
      <c r="Z97" s="226"/>
      <c r="AA97" s="226"/>
      <c r="AB97" s="226"/>
      <c r="AC97" s="226"/>
    </row>
    <row r="98" spans="23:29">
      <c r="W98" s="226"/>
      <c r="X98" s="226"/>
      <c r="Y98" s="226"/>
      <c r="Z98" s="226"/>
      <c r="AA98" s="226"/>
      <c r="AB98" s="226"/>
      <c r="AC98" s="226"/>
    </row>
    <row r="99" spans="23:29">
      <c r="W99" s="226"/>
      <c r="X99" s="226"/>
      <c r="Y99" s="226"/>
      <c r="Z99" s="226"/>
      <c r="AA99" s="226"/>
      <c r="AB99" s="226"/>
      <c r="AC99" s="226"/>
    </row>
    <row r="100" spans="23:29">
      <c r="W100" s="226"/>
      <c r="X100" s="226"/>
      <c r="Y100" s="226"/>
      <c r="Z100" s="226"/>
      <c r="AA100" s="226"/>
      <c r="AB100" s="226"/>
      <c r="AC100" s="226"/>
    </row>
    <row r="101" spans="23:29">
      <c r="W101" s="226"/>
      <c r="X101" s="226"/>
      <c r="Y101" s="226"/>
      <c r="Z101" s="226"/>
      <c r="AA101" s="226"/>
      <c r="AB101" s="226"/>
      <c r="AC101" s="226"/>
    </row>
    <row r="102" spans="23:29">
      <c r="W102" s="226"/>
      <c r="X102" s="226"/>
      <c r="Y102" s="226"/>
      <c r="Z102" s="226"/>
      <c r="AA102" s="226"/>
      <c r="AB102" s="226"/>
      <c r="AC102" s="226"/>
    </row>
    <row r="103" spans="23:29">
      <c r="W103" s="226"/>
      <c r="X103" s="226"/>
      <c r="Y103" s="226"/>
      <c r="Z103" s="226"/>
      <c r="AA103" s="226"/>
      <c r="AB103" s="226"/>
      <c r="AC103" s="226"/>
    </row>
    <row r="104" spans="23:29">
      <c r="W104" s="226"/>
      <c r="X104" s="226"/>
      <c r="Y104" s="226"/>
      <c r="Z104" s="226"/>
      <c r="AA104" s="226"/>
      <c r="AB104" s="226"/>
      <c r="AC104" s="226"/>
    </row>
    <row r="105" spans="23:29">
      <c r="W105" s="226"/>
      <c r="X105" s="226"/>
      <c r="Y105" s="226"/>
      <c r="Z105" s="226"/>
      <c r="AA105" s="226"/>
      <c r="AB105" s="226"/>
      <c r="AC105" s="226"/>
    </row>
    <row r="106" spans="23:29">
      <c r="W106" s="226"/>
      <c r="X106" s="226"/>
      <c r="Y106" s="226"/>
      <c r="Z106" s="226"/>
      <c r="AA106" s="226"/>
      <c r="AB106" s="226"/>
      <c r="AC106" s="226"/>
    </row>
    <row r="107" spans="23:29">
      <c r="W107" s="226"/>
      <c r="X107" s="226"/>
      <c r="Y107" s="226"/>
      <c r="Z107" s="226"/>
      <c r="AA107" s="226"/>
      <c r="AB107" s="226"/>
      <c r="AC107" s="226"/>
    </row>
    <row r="108" spans="23:29">
      <c r="W108" s="226"/>
      <c r="X108" s="226"/>
      <c r="Y108" s="226"/>
      <c r="Z108" s="226"/>
      <c r="AA108" s="226"/>
      <c r="AB108" s="226"/>
      <c r="AC108" s="226"/>
    </row>
    <row r="109" spans="23:29">
      <c r="W109" s="226"/>
      <c r="X109" s="226"/>
      <c r="Y109" s="226"/>
      <c r="Z109" s="226"/>
      <c r="AA109" s="226"/>
      <c r="AB109" s="226"/>
      <c r="AC109" s="226"/>
    </row>
    <row r="110" spans="23:29">
      <c r="W110" s="226"/>
      <c r="X110" s="226"/>
      <c r="Y110" s="226"/>
      <c r="Z110" s="226"/>
      <c r="AA110" s="226"/>
      <c r="AB110" s="226"/>
      <c r="AC110" s="226"/>
    </row>
    <row r="111" spans="23:29">
      <c r="W111" s="226"/>
      <c r="X111" s="226"/>
      <c r="Y111" s="226"/>
      <c r="Z111" s="226"/>
      <c r="AA111" s="226"/>
      <c r="AB111" s="226"/>
      <c r="AC111" s="226"/>
    </row>
    <row r="112" spans="23:29">
      <c r="W112" s="226"/>
      <c r="X112" s="226"/>
      <c r="Y112" s="226"/>
      <c r="Z112" s="226"/>
      <c r="AA112" s="226"/>
      <c r="AB112" s="226"/>
      <c r="AC112" s="226"/>
    </row>
    <row r="113" spans="23:29">
      <c r="W113" s="226"/>
      <c r="X113" s="226"/>
      <c r="Y113" s="226"/>
      <c r="Z113" s="226"/>
      <c r="AA113" s="226"/>
      <c r="AB113" s="226"/>
      <c r="AC113" s="226"/>
    </row>
    <row r="114" spans="23:29">
      <c r="W114" s="226"/>
      <c r="X114" s="226"/>
      <c r="Y114" s="226"/>
      <c r="Z114" s="226"/>
      <c r="AA114" s="226"/>
      <c r="AB114" s="226"/>
      <c r="AC114" s="226"/>
    </row>
    <row r="115" spans="23:29">
      <c r="W115" s="226"/>
      <c r="X115" s="226"/>
      <c r="Y115" s="226"/>
      <c r="Z115" s="226"/>
      <c r="AA115" s="226"/>
      <c r="AB115" s="226"/>
      <c r="AC115" s="226"/>
    </row>
    <row r="116" spans="23:29">
      <c r="W116" s="226"/>
      <c r="X116" s="226"/>
      <c r="Y116" s="226"/>
      <c r="Z116" s="226"/>
      <c r="AA116" s="226"/>
      <c r="AB116" s="226"/>
      <c r="AC116" s="226"/>
    </row>
    <row r="117" spans="23:29">
      <c r="W117" s="226"/>
      <c r="X117" s="226"/>
      <c r="Y117" s="226"/>
      <c r="Z117" s="226"/>
      <c r="AA117" s="226"/>
      <c r="AB117" s="226"/>
      <c r="AC117" s="226"/>
    </row>
    <row r="118" spans="23:29">
      <c r="W118" s="226"/>
      <c r="X118" s="226"/>
      <c r="Y118" s="226"/>
      <c r="Z118" s="226"/>
      <c r="AA118" s="226"/>
      <c r="AB118" s="226"/>
      <c r="AC118" s="226"/>
    </row>
    <row r="119" spans="23:29">
      <c r="W119" s="226"/>
      <c r="X119" s="226"/>
      <c r="Y119" s="226"/>
      <c r="Z119" s="226"/>
      <c r="AA119" s="226"/>
      <c r="AB119" s="226"/>
      <c r="AC119" s="226"/>
    </row>
    <row r="120" spans="23:29">
      <c r="W120" s="226"/>
      <c r="X120" s="226"/>
      <c r="Y120" s="226"/>
      <c r="Z120" s="226"/>
      <c r="AA120" s="226"/>
      <c r="AB120" s="226"/>
      <c r="AC120" s="226"/>
    </row>
    <row r="121" spans="23:29">
      <c r="W121" s="226"/>
      <c r="X121" s="226"/>
      <c r="Y121" s="226"/>
      <c r="Z121" s="226"/>
      <c r="AA121" s="226"/>
      <c r="AB121" s="226"/>
      <c r="AC121" s="226"/>
    </row>
    <row r="122" spans="23:29">
      <c r="W122" s="226"/>
      <c r="X122" s="226"/>
      <c r="Y122" s="226"/>
      <c r="Z122" s="226"/>
      <c r="AA122" s="226"/>
      <c r="AB122" s="226"/>
      <c r="AC122" s="226"/>
    </row>
    <row r="123" spans="23:29">
      <c r="W123" s="226"/>
      <c r="X123" s="226"/>
      <c r="Y123" s="226"/>
      <c r="Z123" s="226"/>
      <c r="AA123" s="226"/>
      <c r="AB123" s="226"/>
      <c r="AC123" s="226"/>
    </row>
    <row r="124" spans="23:29">
      <c r="W124" s="226"/>
      <c r="X124" s="226"/>
      <c r="Y124" s="226"/>
      <c r="Z124" s="226"/>
      <c r="AA124" s="226"/>
      <c r="AB124" s="226"/>
      <c r="AC124" s="226"/>
    </row>
    <row r="125" spans="23:29">
      <c r="W125" s="226"/>
      <c r="X125" s="226"/>
      <c r="Y125" s="226"/>
      <c r="Z125" s="226"/>
      <c r="AA125" s="226"/>
      <c r="AB125" s="226"/>
      <c r="AC125" s="226"/>
    </row>
    <row r="126" spans="23:29">
      <c r="W126" s="226"/>
      <c r="X126" s="226"/>
      <c r="Y126" s="226"/>
      <c r="Z126" s="226"/>
      <c r="AA126" s="226"/>
      <c r="AB126" s="226"/>
      <c r="AC126" s="226"/>
    </row>
    <row r="127" spans="23:29">
      <c r="W127" s="226"/>
      <c r="X127" s="226"/>
      <c r="Y127" s="226"/>
      <c r="Z127" s="226"/>
      <c r="AA127" s="226"/>
      <c r="AB127" s="226"/>
      <c r="AC127" s="226"/>
    </row>
    <row r="128" spans="23:29">
      <c r="W128" s="226"/>
      <c r="X128" s="226"/>
      <c r="Y128" s="226"/>
      <c r="Z128" s="226"/>
      <c r="AA128" s="226"/>
      <c r="AB128" s="226"/>
      <c r="AC128" s="226"/>
    </row>
    <row r="129" spans="23:29">
      <c r="W129" s="226"/>
      <c r="X129" s="226"/>
      <c r="Y129" s="226"/>
      <c r="Z129" s="226"/>
      <c r="AA129" s="226"/>
      <c r="AB129" s="226"/>
      <c r="AC129" s="226"/>
    </row>
    <row r="130" spans="23:29">
      <c r="W130" s="226"/>
      <c r="X130" s="226"/>
      <c r="Y130" s="226"/>
      <c r="Z130" s="226"/>
      <c r="AA130" s="226"/>
      <c r="AB130" s="226"/>
      <c r="AC130" s="226"/>
    </row>
    <row r="131" spans="23:29">
      <c r="W131" s="226"/>
      <c r="X131" s="226"/>
      <c r="Y131" s="226"/>
      <c r="Z131" s="226"/>
      <c r="AA131" s="226"/>
      <c r="AB131" s="226"/>
      <c r="AC131" s="226"/>
    </row>
    <row r="132" spans="23:29">
      <c r="W132" s="226"/>
      <c r="X132" s="226"/>
      <c r="Y132" s="226"/>
      <c r="Z132" s="226"/>
      <c r="AA132" s="226"/>
      <c r="AB132" s="226"/>
      <c r="AC132" s="226"/>
    </row>
    <row r="133" spans="23:29">
      <c r="W133" s="226"/>
      <c r="X133" s="226"/>
      <c r="Y133" s="226"/>
      <c r="Z133" s="226"/>
      <c r="AA133" s="226"/>
      <c r="AB133" s="226"/>
      <c r="AC133" s="226"/>
    </row>
    <row r="134" spans="23:29">
      <c r="W134" s="226"/>
      <c r="X134" s="226"/>
      <c r="Y134" s="226"/>
      <c r="Z134" s="226"/>
      <c r="AA134" s="226"/>
      <c r="AB134" s="226"/>
      <c r="AC134" s="226"/>
    </row>
    <row r="135" spans="23:29">
      <c r="W135" s="226"/>
      <c r="X135" s="226"/>
      <c r="Y135" s="226"/>
      <c r="Z135" s="226"/>
      <c r="AA135" s="226"/>
      <c r="AB135" s="226"/>
      <c r="AC135" s="226"/>
    </row>
    <row r="136" spans="23:29">
      <c r="W136" s="226"/>
      <c r="X136" s="226"/>
      <c r="Y136" s="226"/>
      <c r="Z136" s="226"/>
      <c r="AA136" s="226"/>
      <c r="AB136" s="226"/>
      <c r="AC136" s="226"/>
    </row>
    <row r="137" spans="23:29">
      <c r="W137" s="226"/>
      <c r="X137" s="226"/>
      <c r="Y137" s="226"/>
      <c r="Z137" s="226"/>
      <c r="AA137" s="226"/>
      <c r="AB137" s="226"/>
      <c r="AC137" s="226"/>
    </row>
    <row r="138" spans="23:29">
      <c r="W138" s="226"/>
      <c r="X138" s="226"/>
      <c r="Y138" s="226"/>
      <c r="Z138" s="226"/>
      <c r="AA138" s="226"/>
      <c r="AB138" s="226"/>
      <c r="AC138" s="226"/>
    </row>
    <row r="139" spans="23:29">
      <c r="W139" s="226"/>
      <c r="X139" s="226"/>
      <c r="Y139" s="226"/>
      <c r="Z139" s="226"/>
      <c r="AA139" s="226"/>
      <c r="AB139" s="226"/>
      <c r="AC139" s="226"/>
    </row>
    <row r="140" spans="23:29">
      <c r="W140" s="226"/>
      <c r="X140" s="226"/>
      <c r="Y140" s="226"/>
      <c r="Z140" s="226"/>
      <c r="AA140" s="226"/>
      <c r="AB140" s="226"/>
      <c r="AC140" s="226"/>
    </row>
    <row r="141" spans="23:29">
      <c r="W141" s="226"/>
      <c r="X141" s="226"/>
      <c r="Y141" s="226"/>
      <c r="Z141" s="226"/>
      <c r="AA141" s="226"/>
      <c r="AB141" s="226"/>
      <c r="AC141" s="226"/>
    </row>
    <row r="142" spans="23:29">
      <c r="W142" s="226"/>
      <c r="X142" s="226"/>
      <c r="Y142" s="226"/>
      <c r="Z142" s="226"/>
      <c r="AA142" s="226"/>
      <c r="AB142" s="226"/>
      <c r="AC142" s="226"/>
    </row>
    <row r="143" spans="23:29">
      <c r="W143" s="226"/>
      <c r="X143" s="226"/>
      <c r="Y143" s="226"/>
      <c r="Z143" s="226"/>
      <c r="AA143" s="226"/>
      <c r="AB143" s="226"/>
      <c r="AC143" s="226"/>
    </row>
    <row r="144" spans="23:29">
      <c r="W144" s="226"/>
      <c r="X144" s="226"/>
      <c r="Y144" s="226"/>
      <c r="Z144" s="226"/>
      <c r="AA144" s="226"/>
      <c r="AB144" s="226"/>
      <c r="AC144" s="226"/>
    </row>
    <row r="145" spans="23:29">
      <c r="W145" s="226"/>
      <c r="X145" s="226"/>
      <c r="Y145" s="226"/>
      <c r="Z145" s="226"/>
      <c r="AA145" s="226"/>
      <c r="AB145" s="226"/>
      <c r="AC145" s="226"/>
    </row>
    <row r="146" spans="23:29">
      <c r="W146" s="226"/>
      <c r="X146" s="226"/>
      <c r="Y146" s="226"/>
      <c r="Z146" s="226"/>
      <c r="AA146" s="226"/>
      <c r="AB146" s="226"/>
      <c r="AC146" s="226"/>
    </row>
    <row r="147" spans="23:29">
      <c r="W147" s="226"/>
      <c r="X147" s="226"/>
      <c r="Y147" s="226"/>
      <c r="Z147" s="226"/>
      <c r="AA147" s="226"/>
      <c r="AB147" s="226"/>
      <c r="AC147" s="226"/>
    </row>
    <row r="148" spans="23:29">
      <c r="W148" s="226"/>
      <c r="X148" s="226"/>
      <c r="Y148" s="226"/>
      <c r="Z148" s="226"/>
      <c r="AA148" s="226"/>
      <c r="AB148" s="226"/>
      <c r="AC148" s="226"/>
    </row>
    <row r="149" spans="23:29">
      <c r="W149" s="226"/>
      <c r="X149" s="226"/>
      <c r="Y149" s="226"/>
      <c r="Z149" s="226"/>
      <c r="AA149" s="226"/>
      <c r="AB149" s="226"/>
      <c r="AC149" s="226"/>
    </row>
    <row r="150" spans="23:29">
      <c r="W150" s="226"/>
      <c r="X150" s="226"/>
      <c r="Y150" s="226"/>
      <c r="Z150" s="226"/>
      <c r="AA150" s="226"/>
      <c r="AB150" s="226"/>
      <c r="AC150" s="226"/>
    </row>
    <row r="151" spans="23:29">
      <c r="W151" s="226"/>
      <c r="X151" s="226"/>
      <c r="Y151" s="226"/>
      <c r="Z151" s="226"/>
      <c r="AA151" s="226"/>
      <c r="AB151" s="226"/>
      <c r="AC151" s="226"/>
    </row>
    <row r="152" spans="23:29">
      <c r="W152" s="226"/>
      <c r="X152" s="226"/>
      <c r="Y152" s="226"/>
      <c r="Z152" s="226"/>
      <c r="AA152" s="226"/>
      <c r="AB152" s="226"/>
      <c r="AC152" s="226"/>
    </row>
    <row r="153" spans="23:29">
      <c r="W153" s="226"/>
      <c r="X153" s="226"/>
      <c r="Y153" s="226"/>
      <c r="Z153" s="226"/>
      <c r="AA153" s="226"/>
      <c r="AB153" s="226"/>
      <c r="AC153" s="226"/>
    </row>
    <row r="154" spans="23:29">
      <c r="W154" s="226"/>
      <c r="X154" s="226"/>
      <c r="Y154" s="226"/>
      <c r="Z154" s="226"/>
      <c r="AA154" s="226"/>
      <c r="AB154" s="226"/>
      <c r="AC154" s="226"/>
    </row>
    <row r="155" spans="23:29">
      <c r="W155" s="226"/>
      <c r="X155" s="226"/>
      <c r="Y155" s="226"/>
      <c r="Z155" s="226"/>
      <c r="AA155" s="226"/>
      <c r="AB155" s="226"/>
      <c r="AC155" s="226"/>
    </row>
    <row r="156" spans="23:29">
      <c r="W156" s="226"/>
      <c r="X156" s="226"/>
      <c r="Y156" s="226"/>
      <c r="Z156" s="226"/>
      <c r="AA156" s="226"/>
      <c r="AB156" s="226"/>
      <c r="AC156" s="226"/>
    </row>
    <row r="157" spans="23:29">
      <c r="W157" s="226"/>
      <c r="X157" s="226"/>
      <c r="Y157" s="226"/>
      <c r="Z157" s="226"/>
      <c r="AA157" s="226"/>
      <c r="AB157" s="226"/>
      <c r="AC157" s="226"/>
    </row>
    <row r="158" spans="23:29">
      <c r="W158" s="226"/>
      <c r="X158" s="226"/>
      <c r="Y158" s="226"/>
      <c r="Z158" s="226"/>
      <c r="AA158" s="226"/>
      <c r="AB158" s="226"/>
      <c r="AC158" s="226"/>
    </row>
    <row r="159" spans="23:29">
      <c r="W159" s="226"/>
      <c r="X159" s="226"/>
      <c r="Y159" s="226"/>
      <c r="Z159" s="226"/>
      <c r="AA159" s="226"/>
      <c r="AB159" s="226"/>
      <c r="AC159" s="226"/>
    </row>
    <row r="160" spans="23:29">
      <c r="W160" s="226"/>
      <c r="X160" s="226"/>
      <c r="Y160" s="226"/>
      <c r="Z160" s="226"/>
      <c r="AA160" s="226"/>
      <c r="AB160" s="226"/>
      <c r="AC160" s="226"/>
    </row>
    <row r="161" spans="23:29">
      <c r="W161" s="226"/>
      <c r="X161" s="226"/>
      <c r="Y161" s="226"/>
      <c r="Z161" s="226"/>
      <c r="AA161" s="226"/>
      <c r="AB161" s="226"/>
      <c r="AC161" s="226"/>
    </row>
    <row r="162" spans="23:29">
      <c r="W162" s="226"/>
      <c r="X162" s="226"/>
      <c r="Y162" s="226"/>
      <c r="Z162" s="226"/>
      <c r="AA162" s="226"/>
      <c r="AB162" s="226"/>
      <c r="AC162" s="226"/>
    </row>
  </sheetData>
  <sheetProtection algorithmName="SHA-512" hashValue="+h0vcmpAVEBc/dvoQnOQGMp7deKadICgA2ks3ho8myTf7EhGqzSg0tAOlZlz9aHo3bP7xucluMoRWJqpSe//Hw==" saltValue="jkUHGXAiy+WwYKN3s6/Hlw==" spinCount="100000" sheet="1" objects="1" scenarios="1" selectLockedCells="1"/>
  <mergeCells count="1">
    <mergeCell ref="Y1:Z1"/>
  </mergeCells>
  <conditionalFormatting sqref="F10 F19 F27 F42">
    <cfRule type="containsText" dxfId="9" priority="9" operator="containsText" text="Não">
      <formula>NOT(ISERROR(SEARCH("Não",F10)))</formula>
    </cfRule>
    <cfRule type="containsText" dxfId="8" priority="10" operator="containsText" text="Sim">
      <formula>NOT(ISERROR(SEARCH("Sim",F10)))</formula>
    </cfRule>
  </conditionalFormatting>
  <conditionalFormatting sqref="J6:J10 J12:J19">
    <cfRule type="dataBar" priority="5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{DB61F738-8D0C-401C-A6E8-7FFF58312344}</x14:id>
        </ext>
      </extLst>
    </cfRule>
  </conditionalFormatting>
  <conditionalFormatting sqref="J21:J26">
    <cfRule type="dataBar" priority="2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{B03EAA65-B97B-4552-BD4E-99A844C5F7E4}</x14:id>
        </ext>
      </extLst>
    </cfRule>
  </conditionalFormatting>
  <conditionalFormatting sqref="J27">
    <cfRule type="dataBar" priority="2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{9F105494-7F73-4D43-BC4C-58AEB80E2ED3}</x14:id>
        </ext>
      </extLst>
    </cfRule>
  </conditionalFormatting>
  <conditionalFormatting sqref="J29:J41">
    <cfRule type="dataBar" priority="2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{2A470955-63ED-4CE7-A02F-6EB7B050F179}</x14:id>
        </ext>
      </extLst>
    </cfRule>
  </conditionalFormatting>
  <conditionalFormatting sqref="J42">
    <cfRule type="dataBar" priority="2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{8699DA2F-62C8-4855-ABAD-7C1C18C75D3B}</x14:id>
        </ext>
      </extLst>
    </cfRule>
  </conditionalFormatting>
  <conditionalFormatting sqref="J51:J55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{084750FA-D188-42C7-BF9A-7A356C464876}</x14:id>
        </ext>
      </extLst>
    </cfRule>
  </conditionalFormatting>
  <conditionalFormatting sqref="R21:R27 R42 R6:R10 R29:R37 R12:R19">
    <cfRule type="dataBar" priority="5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{9E611116-F6A8-43D4-BBB6-B67017773967}</x14:id>
        </ext>
      </extLst>
    </cfRule>
  </conditionalFormatting>
  <conditionalFormatting sqref="R55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{918A1411-B4E0-497D-82BD-BA98F49E7997}</x14:id>
        </ext>
      </extLst>
    </cfRule>
  </conditionalFormatting>
  <conditionalFormatting sqref="AA22">
    <cfRule type="dataBar" priority="2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{82496F35-8BD4-460D-8787-686C88F105FF}</x14:id>
        </ext>
      </extLst>
    </cfRule>
  </conditionalFormatting>
  <conditionalFormatting sqref="AF48">
    <cfRule type="expression" dxfId="7" priority="8">
      <formula>$AF$46="Não Atente"</formula>
    </cfRule>
  </conditionalFormatting>
  <conditionalFormatting sqref="AH48">
    <cfRule type="expression" dxfId="6" priority="7">
      <formula>$AH$46="Não Atente"</formula>
    </cfRule>
  </conditionalFormatting>
  <conditionalFormatting sqref="AJ48">
    <cfRule type="expression" dxfId="5" priority="6">
      <formula>$AJ$46="Não Atente"</formula>
    </cfRule>
  </conditionalFormatting>
  <conditionalFormatting sqref="AL48">
    <cfRule type="expression" dxfId="4" priority="5">
      <formula>$AL$46="Não Atente"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61F738-8D0C-401C-A6E8-7FFF583123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J6:J10 J12:J19</xm:sqref>
        </x14:conditionalFormatting>
        <x14:conditionalFormatting xmlns:xm="http://schemas.microsoft.com/office/excel/2006/main">
          <x14:cfRule type="dataBar" id="{B03EAA65-B97B-4552-BD4E-99A844C5F7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J21:J26</xm:sqref>
        </x14:conditionalFormatting>
        <x14:conditionalFormatting xmlns:xm="http://schemas.microsoft.com/office/excel/2006/main">
          <x14:cfRule type="dataBar" id="{9F105494-7F73-4D43-BC4C-58AEB80E2E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J27</xm:sqref>
        </x14:conditionalFormatting>
        <x14:conditionalFormatting xmlns:xm="http://schemas.microsoft.com/office/excel/2006/main">
          <x14:cfRule type="dataBar" id="{2A470955-63ED-4CE7-A02F-6EB7B050F1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J29:J41</xm:sqref>
        </x14:conditionalFormatting>
        <x14:conditionalFormatting xmlns:xm="http://schemas.microsoft.com/office/excel/2006/main">
          <x14:cfRule type="dataBar" id="{8699DA2F-62C8-4855-ABAD-7C1C18C75D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J42</xm:sqref>
        </x14:conditionalFormatting>
        <x14:conditionalFormatting xmlns:xm="http://schemas.microsoft.com/office/excel/2006/main">
          <x14:cfRule type="dataBar" id="{084750FA-D188-42C7-BF9A-7A356C4648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J51:J55</xm:sqref>
        </x14:conditionalFormatting>
        <x14:conditionalFormatting xmlns:xm="http://schemas.microsoft.com/office/excel/2006/main">
          <x14:cfRule type="dataBar" id="{9E611116-F6A8-43D4-BBB6-B6701777396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R21:R27 R42 R6:R10 R29:R37 R12:R19</xm:sqref>
        </x14:conditionalFormatting>
        <x14:conditionalFormatting xmlns:xm="http://schemas.microsoft.com/office/excel/2006/main">
          <x14:cfRule type="dataBar" id="{918A1411-B4E0-497D-82BD-BA98F49E79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R55</xm:sqref>
        </x14:conditionalFormatting>
        <x14:conditionalFormatting xmlns:xm="http://schemas.microsoft.com/office/excel/2006/main">
          <x14:cfRule type="dataBar" id="{82496F35-8BD4-460D-8787-686C88F105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AA22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50DA8-7F44-4383-BFF2-7E5618747702}">
  <sheetPr>
    <tabColor rgb="FFFFCC00"/>
  </sheetPr>
  <dimension ref="A1:BL114"/>
  <sheetViews>
    <sheetView showGridLines="0" showRowColHeaders="0" zoomScaleNormal="100" workbookViewId="0">
      <pane ySplit="3" topLeftCell="A4" activePane="bottomLeft" state="frozen"/>
      <selection activeCell="O6" sqref="O6"/>
      <selection pane="bottomLeft" activeCell="C12" sqref="C12"/>
    </sheetView>
  </sheetViews>
  <sheetFormatPr defaultColWidth="0" defaultRowHeight="15" zeroHeight="1"/>
  <cols>
    <col min="1" max="1" width="26.33203125" style="169" customWidth="1"/>
    <col min="2" max="2" width="16.6640625" style="169" bestFit="1" customWidth="1"/>
    <col min="3" max="3" width="7.33203125" style="169" bestFit="1" customWidth="1"/>
    <col min="4" max="4" width="7.6640625" style="169" bestFit="1" customWidth="1"/>
    <col min="5" max="5" width="17.33203125" style="228" customWidth="1"/>
    <col min="6" max="6" width="12.5546875" style="573" bestFit="1" customWidth="1"/>
    <col min="7" max="7" width="3.6640625" style="566" customWidth="1"/>
    <col min="8" max="8" width="10.33203125" style="228" bestFit="1" customWidth="1"/>
    <col min="9" max="9" width="7.33203125" style="228" bestFit="1" customWidth="1"/>
    <col min="10" max="10" width="7.6640625" style="573" bestFit="1" customWidth="1"/>
    <col min="11" max="11" width="9.109375" style="566" customWidth="1"/>
    <col min="12" max="12" width="11.33203125" style="169" customWidth="1"/>
    <col min="13" max="13" width="10.44140625" style="169" bestFit="1" customWidth="1"/>
    <col min="14" max="14" width="10.109375" style="169" customWidth="1"/>
    <col min="15" max="15" width="11.5546875" style="169" customWidth="1"/>
    <col min="16" max="16" width="10.88671875" style="169" customWidth="1"/>
    <col min="17" max="22" width="9.109375" style="169" customWidth="1"/>
    <col min="23" max="31" width="9.109375" style="169" hidden="1" customWidth="1"/>
    <col min="32" max="32" width="13" style="169" hidden="1" customWidth="1"/>
    <col min="33" max="33" width="13.88671875" style="169" hidden="1" customWidth="1"/>
    <col min="34" max="34" width="13.44140625" style="169" hidden="1" customWidth="1"/>
    <col min="35" max="61" width="9.109375" style="169" hidden="1" customWidth="1"/>
    <col min="62" max="62" width="12.33203125" style="169" hidden="1" customWidth="1"/>
    <col min="63" max="63" width="12.5546875" style="169" hidden="1" customWidth="1"/>
    <col min="64" max="64" width="13" style="169" hidden="1" customWidth="1"/>
    <col min="65" max="16384" width="9.109375" style="169" hidden="1"/>
  </cols>
  <sheetData>
    <row r="1" spans="1:22" ht="9.9" customHeight="1">
      <c r="A1" s="558"/>
      <c r="B1" s="558"/>
      <c r="C1" s="558"/>
      <c r="D1" s="558"/>
      <c r="E1" s="557"/>
      <c r="F1" s="568"/>
      <c r="G1" s="562"/>
      <c r="H1" s="557"/>
      <c r="I1" s="557"/>
      <c r="J1" s="568"/>
      <c r="K1" s="562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558"/>
    </row>
    <row r="2" spans="1:22" ht="16.5" customHeight="1">
      <c r="A2" s="558"/>
      <c r="B2" s="558"/>
      <c r="C2" s="558"/>
      <c r="D2" s="558"/>
      <c r="E2" s="557"/>
      <c r="F2" s="568"/>
      <c r="G2" s="562"/>
      <c r="H2" s="557"/>
      <c r="I2" s="557"/>
      <c r="J2" s="568"/>
      <c r="K2" s="562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</row>
    <row r="3" spans="1:22" ht="9.9" customHeight="1">
      <c r="A3" s="558"/>
      <c r="B3" s="558"/>
      <c r="C3" s="558"/>
      <c r="D3" s="558"/>
      <c r="E3" s="557"/>
      <c r="F3" s="568"/>
      <c r="G3" s="562"/>
      <c r="H3" s="557"/>
      <c r="I3" s="557"/>
      <c r="J3" s="568"/>
      <c r="K3" s="562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</row>
    <row r="4" spans="1:22" ht="30" customHeight="1">
      <c r="A4" s="558"/>
      <c r="B4" s="600" t="s">
        <v>561</v>
      </c>
      <c r="C4" s="600"/>
      <c r="D4" s="558"/>
      <c r="E4" s="568"/>
      <c r="F4" s="568"/>
      <c r="G4" s="562"/>
      <c r="H4" s="557"/>
      <c r="I4" s="557"/>
      <c r="J4" s="568"/>
      <c r="K4" s="562"/>
      <c r="L4" s="558"/>
      <c r="M4" s="558"/>
      <c r="N4" s="558"/>
      <c r="O4" s="558"/>
      <c r="P4" s="558"/>
      <c r="Q4" s="558"/>
      <c r="R4" s="558"/>
      <c r="S4" s="558"/>
      <c r="T4" s="558"/>
      <c r="U4" s="558"/>
      <c r="V4" s="558"/>
    </row>
    <row r="5" spans="1:22">
      <c r="A5" s="558"/>
      <c r="B5" s="558"/>
      <c r="C5" s="558"/>
      <c r="D5" s="558"/>
      <c r="E5" s="557"/>
      <c r="F5" s="568"/>
      <c r="G5" s="562"/>
      <c r="H5" s="557"/>
      <c r="I5" s="557"/>
      <c r="J5" s="568"/>
      <c r="K5" s="562"/>
      <c r="L5" s="558"/>
      <c r="M5" s="558"/>
      <c r="N5" s="558"/>
      <c r="O5" s="558"/>
      <c r="P5" s="558"/>
      <c r="Q5" s="558"/>
      <c r="R5" s="558"/>
      <c r="S5" s="558"/>
      <c r="T5" s="558"/>
      <c r="U5" s="558"/>
      <c r="V5" s="558"/>
    </row>
    <row r="6" spans="1:22">
      <c r="A6" s="558"/>
      <c r="B6" s="558"/>
      <c r="C6" s="558"/>
      <c r="D6" s="558"/>
      <c r="E6" s="557"/>
      <c r="F6" s="568"/>
      <c r="G6" s="562"/>
      <c r="H6" s="557"/>
      <c r="I6" s="557"/>
      <c r="J6" s="568"/>
      <c r="K6" s="562"/>
      <c r="L6" s="558"/>
      <c r="M6" s="558"/>
      <c r="N6" s="558"/>
      <c r="O6" s="558"/>
      <c r="P6" s="558"/>
      <c r="Q6" s="558"/>
      <c r="R6" s="558"/>
      <c r="S6" s="558"/>
      <c r="T6" s="558"/>
      <c r="U6" s="558"/>
      <c r="V6" s="558"/>
    </row>
    <row r="7" spans="1:22" ht="15.75" customHeight="1">
      <c r="A7" s="558"/>
      <c r="B7" s="558"/>
      <c r="C7" s="558"/>
      <c r="D7" s="558"/>
      <c r="E7" s="557"/>
      <c r="F7" s="568"/>
      <c r="G7" s="562"/>
      <c r="H7" s="560"/>
      <c r="I7" s="557"/>
      <c r="J7" s="568"/>
      <c r="K7" s="562"/>
      <c r="L7" s="558"/>
      <c r="M7" s="558"/>
      <c r="N7" s="558"/>
      <c r="O7" s="558"/>
      <c r="P7" s="558"/>
      <c r="Q7" s="558"/>
      <c r="R7" s="558"/>
      <c r="S7" s="558"/>
      <c r="T7" s="558"/>
      <c r="U7" s="558"/>
      <c r="V7" s="558"/>
    </row>
    <row r="8" spans="1:22" ht="15.75" customHeight="1">
      <c r="A8" s="558"/>
      <c r="B8" s="558"/>
      <c r="C8" s="558"/>
      <c r="D8" s="558"/>
      <c r="E8" s="557"/>
      <c r="F8" s="568"/>
      <c r="G8" s="562"/>
      <c r="H8" s="560"/>
      <c r="I8" s="557"/>
      <c r="J8" s="568"/>
      <c r="K8" s="562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</row>
    <row r="9" spans="1:22" ht="16.8">
      <c r="A9" s="558"/>
      <c r="B9" s="845" t="s">
        <v>380</v>
      </c>
      <c r="C9" s="845"/>
      <c r="D9" s="845"/>
      <c r="E9" s="845"/>
      <c r="F9" s="845"/>
      <c r="G9" s="562"/>
      <c r="H9" s="845" t="s">
        <v>383</v>
      </c>
      <c r="I9" s="845"/>
      <c r="J9" s="845"/>
      <c r="K9" s="845"/>
      <c r="L9" s="845"/>
      <c r="M9" s="845"/>
      <c r="N9" s="558"/>
      <c r="O9" s="558"/>
      <c r="P9" s="558"/>
      <c r="Q9" s="558"/>
      <c r="R9" s="558"/>
      <c r="S9" s="558"/>
      <c r="T9" s="558"/>
      <c r="U9" s="558"/>
      <c r="V9" s="558"/>
    </row>
    <row r="10" spans="1:22">
      <c r="A10" s="558"/>
      <c r="B10" s="558"/>
      <c r="C10" s="558"/>
      <c r="D10" s="558"/>
      <c r="E10" s="557"/>
      <c r="F10" s="568"/>
      <c r="G10" s="562"/>
      <c r="H10" s="560"/>
      <c r="I10" s="557"/>
      <c r="J10" s="568"/>
      <c r="K10" s="562"/>
      <c r="L10" s="558"/>
      <c r="M10" s="558"/>
      <c r="N10" s="558"/>
      <c r="O10" s="558"/>
      <c r="P10" s="558"/>
      <c r="Q10" s="558"/>
      <c r="R10" s="558"/>
      <c r="S10" s="558"/>
      <c r="T10" s="558"/>
      <c r="U10" s="558"/>
      <c r="V10" s="558"/>
    </row>
    <row r="11" spans="1:22">
      <c r="A11" s="558"/>
      <c r="B11" s="843" t="s">
        <v>376</v>
      </c>
      <c r="C11" s="843"/>
      <c r="D11" s="843"/>
      <c r="E11" s="557"/>
      <c r="F11" s="568"/>
      <c r="G11" s="562"/>
      <c r="H11" s="843" t="s">
        <v>376</v>
      </c>
      <c r="I11" s="843"/>
      <c r="J11" s="843"/>
      <c r="K11" s="562"/>
      <c r="L11" s="558"/>
      <c r="M11" s="558"/>
      <c r="N11" s="558"/>
      <c r="O11" s="558"/>
      <c r="P11" s="558"/>
      <c r="Q11" s="558"/>
      <c r="R11" s="558"/>
      <c r="S11" s="558"/>
      <c r="T11" s="558"/>
      <c r="U11" s="558"/>
      <c r="V11" s="558"/>
    </row>
    <row r="12" spans="1:22">
      <c r="A12" s="558"/>
      <c r="B12" s="584" t="s">
        <v>543</v>
      </c>
      <c r="C12" s="695">
        <v>2</v>
      </c>
      <c r="D12" s="601" t="s">
        <v>375</v>
      </c>
      <c r="E12" s="557"/>
      <c r="F12" s="568"/>
      <c r="G12" s="562"/>
      <c r="H12" s="584" t="s">
        <v>543</v>
      </c>
      <c r="I12" s="695">
        <v>1</v>
      </c>
      <c r="J12" s="601" t="s">
        <v>375</v>
      </c>
      <c r="K12" s="562"/>
      <c r="L12" s="558"/>
      <c r="M12" s="558"/>
      <c r="N12" s="558"/>
      <c r="O12" s="558"/>
      <c r="P12" s="558"/>
      <c r="Q12" s="558"/>
      <c r="R12" s="558"/>
      <c r="S12" s="558"/>
      <c r="T12" s="558"/>
      <c r="U12" s="558"/>
      <c r="V12" s="558"/>
    </row>
    <row r="13" spans="1:22">
      <c r="A13" s="558"/>
      <c r="B13" s="584" t="s">
        <v>374</v>
      </c>
      <c r="C13" s="695">
        <v>15</v>
      </c>
      <c r="D13" s="601" t="s">
        <v>385</v>
      </c>
      <c r="E13" s="557"/>
      <c r="F13" s="568"/>
      <c r="G13" s="562"/>
      <c r="H13" s="584" t="s">
        <v>374</v>
      </c>
      <c r="I13" s="695">
        <v>15</v>
      </c>
      <c r="J13" s="601" t="s">
        <v>385</v>
      </c>
      <c r="K13" s="562"/>
      <c r="L13" s="558"/>
      <c r="M13" s="558"/>
      <c r="N13" s="558"/>
      <c r="O13" s="558"/>
      <c r="P13" s="558"/>
      <c r="Q13" s="558"/>
      <c r="R13" s="558"/>
      <c r="S13" s="558"/>
      <c r="T13" s="558"/>
      <c r="U13" s="558"/>
      <c r="V13" s="558"/>
    </row>
    <row r="14" spans="1:22">
      <c r="A14" s="558"/>
      <c r="B14" s="584" t="s">
        <v>374</v>
      </c>
      <c r="C14" s="570">
        <f>RADIANS(C13)</f>
        <v>0.26179938779914941</v>
      </c>
      <c r="D14" s="563" t="s">
        <v>384</v>
      </c>
      <c r="E14" s="557"/>
      <c r="F14" s="568"/>
      <c r="G14" s="562"/>
      <c r="H14" s="584" t="s">
        <v>374</v>
      </c>
      <c r="I14" s="570">
        <f>RADIANS(I13)</f>
        <v>0.26179938779914941</v>
      </c>
      <c r="J14" s="563" t="s">
        <v>384</v>
      </c>
      <c r="K14" s="562"/>
      <c r="L14" s="558"/>
      <c r="M14" s="558"/>
      <c r="N14" s="558"/>
      <c r="O14" s="558"/>
      <c r="P14" s="558"/>
      <c r="Q14" s="558"/>
      <c r="R14" s="558"/>
      <c r="S14" s="558"/>
      <c r="T14" s="558"/>
      <c r="U14" s="558"/>
      <c r="V14" s="558"/>
    </row>
    <row r="15" spans="1:22">
      <c r="A15" s="558"/>
      <c r="B15" s="584" t="s">
        <v>17</v>
      </c>
      <c r="C15" s="696">
        <v>6</v>
      </c>
      <c r="D15" s="601" t="s">
        <v>266</v>
      </c>
      <c r="E15" s="557"/>
      <c r="F15" s="568"/>
      <c r="G15" s="562"/>
      <c r="H15" s="584" t="s">
        <v>17</v>
      </c>
      <c r="I15" s="696">
        <v>6</v>
      </c>
      <c r="J15" s="601" t="s">
        <v>266</v>
      </c>
      <c r="K15" s="562"/>
      <c r="L15" s="558"/>
      <c r="M15" s="558"/>
      <c r="N15" s="558"/>
      <c r="O15" s="558"/>
      <c r="P15" s="558"/>
      <c r="Q15" s="558"/>
      <c r="R15" s="558"/>
      <c r="S15" s="558"/>
      <c r="T15" s="558"/>
      <c r="U15" s="558"/>
      <c r="V15" s="558"/>
    </row>
    <row r="16" spans="1:22">
      <c r="A16" s="558"/>
      <c r="B16" s="584" t="s">
        <v>18</v>
      </c>
      <c r="C16" s="696">
        <v>12</v>
      </c>
      <c r="D16" s="601" t="s">
        <v>266</v>
      </c>
      <c r="E16" s="558"/>
      <c r="F16" s="558"/>
      <c r="G16" s="558"/>
      <c r="H16" s="584" t="s">
        <v>18</v>
      </c>
      <c r="I16" s="696">
        <v>12</v>
      </c>
      <c r="J16" s="601" t="s">
        <v>266</v>
      </c>
      <c r="K16" s="562"/>
      <c r="L16" s="558"/>
      <c r="M16" s="558"/>
      <c r="N16" s="558"/>
      <c r="O16" s="558"/>
      <c r="P16" s="558"/>
      <c r="Q16" s="558"/>
      <c r="R16" s="558"/>
      <c r="S16" s="558"/>
      <c r="T16" s="558"/>
      <c r="U16" s="558"/>
      <c r="V16" s="558"/>
    </row>
    <row r="17" spans="1:22">
      <c r="A17" s="558"/>
      <c r="B17" s="584" t="s">
        <v>544</v>
      </c>
      <c r="C17" s="695">
        <v>2</v>
      </c>
      <c r="D17" s="601" t="s">
        <v>265</v>
      </c>
      <c r="E17" s="557"/>
      <c r="F17" s="568"/>
      <c r="G17" s="562"/>
      <c r="H17" s="584" t="s">
        <v>544</v>
      </c>
      <c r="I17" s="695">
        <v>2</v>
      </c>
      <c r="J17" s="601" t="s">
        <v>265</v>
      </c>
      <c r="K17" s="562"/>
      <c r="L17" s="558"/>
      <c r="M17" s="558"/>
      <c r="N17" s="558"/>
      <c r="O17" s="558"/>
      <c r="P17" s="558"/>
      <c r="Q17" s="558"/>
      <c r="R17" s="558"/>
      <c r="S17" s="558"/>
      <c r="T17" s="558"/>
      <c r="U17" s="558"/>
      <c r="V17" s="558"/>
    </row>
    <row r="18" spans="1:22">
      <c r="A18" s="558"/>
      <c r="B18" s="584" t="s">
        <v>545</v>
      </c>
      <c r="C18" s="570">
        <f>0.25*C17</f>
        <v>0.5</v>
      </c>
      <c r="D18" s="563" t="s">
        <v>265</v>
      </c>
      <c r="E18" s="557"/>
      <c r="F18" s="568"/>
      <c r="G18" s="562"/>
      <c r="H18" s="584" t="s">
        <v>545</v>
      </c>
      <c r="I18" s="570">
        <f>0.25*I17</f>
        <v>0.5</v>
      </c>
      <c r="J18" s="563" t="s">
        <v>265</v>
      </c>
      <c r="K18" s="562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</row>
    <row r="19" spans="1:22">
      <c r="A19" s="558"/>
      <c r="B19" s="585" t="s">
        <v>546</v>
      </c>
      <c r="C19" s="578">
        <f>C17*C18/(C17*SIN(C14)^2+C18*COS(C14)^2)</f>
        <v>1.6653317723514118</v>
      </c>
      <c r="D19" s="577" t="s">
        <v>265</v>
      </c>
      <c r="E19" s="557"/>
      <c r="F19" s="568"/>
      <c r="G19" s="562"/>
      <c r="H19" s="584" t="s">
        <v>546</v>
      </c>
      <c r="I19" s="570">
        <f>I17*I18/(I17*SIN(I14)^2+I18*COS(I14)^2)</f>
        <v>1.6653317723514118</v>
      </c>
      <c r="J19" s="563" t="s">
        <v>265</v>
      </c>
      <c r="K19" s="562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</row>
    <row r="20" spans="1:22">
      <c r="A20" s="558"/>
      <c r="B20" s="844" t="s">
        <v>378</v>
      </c>
      <c r="C20" s="844"/>
      <c r="D20" s="844"/>
      <c r="E20" s="557"/>
      <c r="F20" s="568"/>
      <c r="G20" s="562"/>
      <c r="H20" s="844" t="s">
        <v>378</v>
      </c>
      <c r="I20" s="844"/>
      <c r="J20" s="844"/>
      <c r="K20" s="562"/>
      <c r="L20" s="558"/>
      <c r="M20" s="558"/>
      <c r="N20" s="558"/>
      <c r="O20" s="558"/>
      <c r="P20" s="558"/>
      <c r="Q20" s="558"/>
      <c r="R20" s="558"/>
      <c r="S20" s="558"/>
      <c r="T20" s="558"/>
      <c r="U20" s="558"/>
      <c r="V20" s="558"/>
    </row>
    <row r="21" spans="1:22">
      <c r="A21" s="558"/>
      <c r="B21" s="584" t="s">
        <v>25</v>
      </c>
      <c r="C21" s="570">
        <f>C12*COS(C14)/(C15*C19)</f>
        <v>0.19334001835265979</v>
      </c>
      <c r="D21" s="563" t="s">
        <v>266</v>
      </c>
      <c r="E21" s="557"/>
      <c r="F21" s="568"/>
      <c r="G21" s="562"/>
      <c r="H21" s="584" t="s">
        <v>25</v>
      </c>
      <c r="I21" s="570">
        <f>I12*COS(I14)/(I15*I19)</f>
        <v>9.6670009176329896E-2</v>
      </c>
      <c r="J21" s="563" t="s">
        <v>266</v>
      </c>
      <c r="K21" s="562"/>
      <c r="L21" s="558"/>
      <c r="M21" s="558"/>
      <c r="N21" s="558"/>
      <c r="O21" s="558"/>
      <c r="P21" s="558"/>
      <c r="Q21" s="558"/>
      <c r="R21" s="558"/>
      <c r="S21" s="558"/>
      <c r="T21" s="558"/>
      <c r="U21" s="558"/>
      <c r="V21" s="558"/>
    </row>
    <row r="22" spans="1:22">
      <c r="A22" s="558"/>
      <c r="B22" s="584" t="s">
        <v>547</v>
      </c>
      <c r="C22" s="569">
        <f>_xlfn.CEILING.MATH(C21,0.5)</f>
        <v>0.5</v>
      </c>
      <c r="D22" s="563" t="s">
        <v>266</v>
      </c>
      <c r="E22" s="557"/>
      <c r="F22" s="568"/>
      <c r="G22" s="562"/>
      <c r="H22" s="584" t="s">
        <v>555</v>
      </c>
      <c r="I22" s="569">
        <f>_xlfn.CEILING.MATH(I21,0.5)</f>
        <v>0.5</v>
      </c>
      <c r="J22" s="563" t="s">
        <v>266</v>
      </c>
      <c r="K22" s="564"/>
      <c r="L22" s="558"/>
      <c r="M22" s="558"/>
      <c r="N22" s="558"/>
      <c r="O22" s="558"/>
      <c r="P22" s="558"/>
      <c r="Q22" s="558"/>
      <c r="R22" s="558"/>
      <c r="S22" s="558"/>
      <c r="T22" s="558"/>
      <c r="U22" s="558"/>
      <c r="V22" s="558"/>
    </row>
    <row r="23" spans="1:22">
      <c r="A23" s="558"/>
      <c r="B23" s="584" t="s">
        <v>548</v>
      </c>
      <c r="C23" s="570">
        <f>C16/4</f>
        <v>3</v>
      </c>
      <c r="D23" s="563" t="s">
        <v>266</v>
      </c>
      <c r="E23" s="557"/>
      <c r="F23" s="568"/>
      <c r="G23" s="562"/>
      <c r="H23" s="584" t="s">
        <v>556</v>
      </c>
      <c r="I23" s="570">
        <f>I16/8</f>
        <v>1.5</v>
      </c>
      <c r="J23" s="563" t="s">
        <v>266</v>
      </c>
      <c r="K23" s="564"/>
      <c r="L23" s="558"/>
      <c r="M23" s="558"/>
      <c r="N23" s="558"/>
      <c r="O23" s="558"/>
      <c r="P23" s="558"/>
      <c r="Q23" s="558"/>
      <c r="R23" s="558"/>
      <c r="S23" s="558"/>
      <c r="T23" s="558"/>
      <c r="U23" s="558"/>
      <c r="V23" s="558"/>
    </row>
    <row r="24" spans="1:22">
      <c r="A24" s="558"/>
      <c r="B24" s="584" t="s">
        <v>549</v>
      </c>
      <c r="C24" s="570">
        <f>C16/8</f>
        <v>1.5</v>
      </c>
      <c r="D24" s="563" t="s">
        <v>266</v>
      </c>
      <c r="E24" s="557"/>
      <c r="F24" s="568"/>
      <c r="G24" s="562"/>
      <c r="H24" s="584" t="s">
        <v>557</v>
      </c>
      <c r="I24" s="570">
        <f>I16/16</f>
        <v>0.75</v>
      </c>
      <c r="J24" s="563" t="s">
        <v>266</v>
      </c>
      <c r="K24" s="564"/>
      <c r="L24" s="558"/>
      <c r="M24" s="558"/>
      <c r="N24" s="558"/>
      <c r="O24" s="558"/>
      <c r="P24" s="558"/>
      <c r="Q24" s="558"/>
      <c r="R24" s="558"/>
      <c r="S24" s="558"/>
      <c r="T24" s="558"/>
      <c r="U24" s="558"/>
      <c r="V24" s="558"/>
    </row>
    <row r="25" spans="1:22">
      <c r="A25" s="558"/>
      <c r="B25" s="584" t="s">
        <v>550</v>
      </c>
      <c r="C25" s="569">
        <f>IF(C23&lt;C22,C23,IF(C22&lt;C24,C24,C22))</f>
        <v>1.5</v>
      </c>
      <c r="D25" s="563" t="s">
        <v>266</v>
      </c>
      <c r="E25" s="557"/>
      <c r="F25" s="568"/>
      <c r="G25" s="562"/>
      <c r="H25" s="584" t="s">
        <v>558</v>
      </c>
      <c r="I25" s="569">
        <f>IF(I23&lt;I22,I23,IF(I22&lt;I24,I24,I22))</f>
        <v>0.75</v>
      </c>
      <c r="J25" s="563" t="s">
        <v>266</v>
      </c>
      <c r="K25" s="564"/>
      <c r="L25" s="558"/>
      <c r="M25" s="558"/>
      <c r="N25" s="558"/>
      <c r="O25" s="558"/>
      <c r="P25" s="558"/>
      <c r="Q25" s="558"/>
      <c r="R25" s="558"/>
      <c r="S25" s="558"/>
      <c r="T25" s="558"/>
      <c r="U25" s="558"/>
      <c r="V25" s="558"/>
    </row>
    <row r="26" spans="1:22">
      <c r="A26" s="558"/>
      <c r="B26" s="576" t="s">
        <v>377</v>
      </c>
      <c r="C26" s="843" t="str">
        <f>IF(C22&gt;C23,"Não Atende","Atende")</f>
        <v>Atende</v>
      </c>
      <c r="D26" s="843"/>
      <c r="E26" s="557"/>
      <c r="F26" s="568"/>
      <c r="G26" s="562"/>
      <c r="H26" s="559" t="s">
        <v>377</v>
      </c>
      <c r="I26" s="843" t="str">
        <f>IF(I22&gt;I23,"Não Atende","Atende")</f>
        <v>Atende</v>
      </c>
      <c r="J26" s="843"/>
      <c r="K26" s="564"/>
      <c r="L26" s="558"/>
      <c r="M26" s="558"/>
      <c r="N26" s="558"/>
      <c r="O26" s="558"/>
      <c r="P26" s="558"/>
      <c r="Q26" s="558"/>
      <c r="R26" s="558"/>
      <c r="S26" s="558"/>
      <c r="T26" s="558"/>
      <c r="U26" s="558"/>
      <c r="V26" s="558"/>
    </row>
    <row r="27" spans="1:22">
      <c r="A27" s="558"/>
      <c r="B27" s="844" t="s">
        <v>379</v>
      </c>
      <c r="C27" s="844"/>
      <c r="D27" s="844"/>
      <c r="E27" s="557"/>
      <c r="F27" s="568"/>
      <c r="G27" s="562"/>
      <c r="H27" s="844" t="s">
        <v>379</v>
      </c>
      <c r="I27" s="844"/>
      <c r="J27" s="844"/>
      <c r="K27" s="564"/>
      <c r="L27" s="558"/>
      <c r="M27" s="558"/>
      <c r="N27" s="558"/>
      <c r="O27" s="558"/>
      <c r="P27" s="558"/>
      <c r="Q27" s="558"/>
      <c r="R27" s="558"/>
      <c r="S27" s="558"/>
      <c r="T27" s="558"/>
      <c r="U27" s="558"/>
      <c r="V27" s="558"/>
    </row>
    <row r="28" spans="1:22">
      <c r="A28" s="558"/>
      <c r="B28" s="584" t="s">
        <v>551</v>
      </c>
      <c r="C28" s="695">
        <v>1</v>
      </c>
      <c r="D28" s="601" t="s">
        <v>265</v>
      </c>
      <c r="E28" s="557"/>
      <c r="F28" s="568"/>
      <c r="G28" s="562"/>
      <c r="H28" s="584" t="s">
        <v>551</v>
      </c>
      <c r="I28" s="695">
        <v>1</v>
      </c>
      <c r="J28" s="601" t="s">
        <v>265</v>
      </c>
      <c r="K28" s="564"/>
      <c r="L28" s="558"/>
      <c r="M28" s="558"/>
      <c r="N28" s="558"/>
      <c r="O28" s="558"/>
      <c r="P28" s="558"/>
      <c r="Q28" s="558"/>
      <c r="R28" s="558"/>
      <c r="S28" s="558"/>
      <c r="T28" s="558"/>
      <c r="U28" s="558"/>
      <c r="V28" s="558"/>
    </row>
    <row r="29" spans="1:22">
      <c r="A29" s="558"/>
      <c r="B29" s="584" t="s">
        <v>26</v>
      </c>
      <c r="C29" s="570">
        <f>C12*COS(C14)/(C15*C28)</f>
        <v>0.32197527542968946</v>
      </c>
      <c r="D29" s="563" t="s">
        <v>266</v>
      </c>
      <c r="E29" s="560"/>
      <c r="F29" s="571"/>
      <c r="G29" s="564"/>
      <c r="H29" s="584" t="s">
        <v>26</v>
      </c>
      <c r="I29" s="570">
        <f>I12*COS(I14)/(I15*I28)</f>
        <v>0.16098763771484473</v>
      </c>
      <c r="J29" s="563" t="s">
        <v>266</v>
      </c>
      <c r="K29" s="558"/>
      <c r="L29" s="558"/>
      <c r="M29" s="558"/>
      <c r="N29" s="558"/>
      <c r="O29" s="558"/>
      <c r="P29" s="558"/>
      <c r="Q29" s="558"/>
      <c r="R29" s="558"/>
      <c r="S29" s="558"/>
      <c r="T29" s="558"/>
      <c r="U29" s="558"/>
      <c r="V29" s="558"/>
    </row>
    <row r="30" spans="1:22">
      <c r="A30" s="558"/>
      <c r="B30" s="584" t="s">
        <v>552</v>
      </c>
      <c r="C30" s="569">
        <f>_xlfn.CEILING.MATH(C29,0.5)</f>
        <v>0.5</v>
      </c>
      <c r="D30" s="563" t="s">
        <v>266</v>
      </c>
      <c r="E30" s="558"/>
      <c r="F30" s="558"/>
      <c r="G30" s="558"/>
      <c r="H30" s="584" t="s">
        <v>552</v>
      </c>
      <c r="I30" s="569">
        <f>_xlfn.CEILING.MATH(I29,0.5)</f>
        <v>0.5</v>
      </c>
      <c r="J30" s="563" t="s">
        <v>266</v>
      </c>
      <c r="K30" s="558"/>
      <c r="L30" s="558"/>
      <c r="M30" s="558"/>
      <c r="N30" s="558"/>
      <c r="O30" s="558"/>
      <c r="P30" s="558"/>
      <c r="Q30" s="558"/>
      <c r="R30" s="558"/>
      <c r="S30" s="558"/>
      <c r="T30" s="558"/>
      <c r="U30" s="558"/>
      <c r="V30" s="558"/>
    </row>
    <row r="31" spans="1:22">
      <c r="A31" s="558"/>
      <c r="B31" s="584" t="s">
        <v>553</v>
      </c>
      <c r="C31" s="569">
        <v>15</v>
      </c>
      <c r="D31" s="563" t="s">
        <v>266</v>
      </c>
      <c r="E31" s="558"/>
      <c r="F31" s="558"/>
      <c r="G31" s="558"/>
      <c r="H31" s="584" t="s">
        <v>559</v>
      </c>
      <c r="I31" s="569">
        <v>15</v>
      </c>
      <c r="J31" s="563" t="s">
        <v>266</v>
      </c>
      <c r="K31" s="558"/>
      <c r="L31" s="558"/>
      <c r="M31" s="558"/>
      <c r="N31" s="558"/>
      <c r="O31" s="558"/>
      <c r="P31" s="558"/>
      <c r="Q31" s="558"/>
      <c r="R31" s="558"/>
      <c r="S31" s="558"/>
      <c r="T31" s="558"/>
      <c r="U31" s="558"/>
      <c r="V31" s="558"/>
    </row>
    <row r="32" spans="1:22">
      <c r="A32" s="558"/>
      <c r="B32" s="584" t="s">
        <v>554</v>
      </c>
      <c r="C32" s="569">
        <f>IF(C30&gt;C31,C30,C31)</f>
        <v>15</v>
      </c>
      <c r="D32" s="563" t="s">
        <v>266</v>
      </c>
      <c r="E32" s="558"/>
      <c r="F32" s="558"/>
      <c r="G32" s="558"/>
      <c r="H32" s="584" t="s">
        <v>560</v>
      </c>
      <c r="I32" s="569">
        <f>IF(I30&gt;I31,I30,I31)</f>
        <v>15</v>
      </c>
      <c r="J32" s="563" t="s">
        <v>266</v>
      </c>
      <c r="K32" s="558"/>
      <c r="L32" s="558"/>
      <c r="M32" s="558"/>
      <c r="N32" s="558"/>
      <c r="O32" s="558"/>
      <c r="P32" s="558"/>
      <c r="Q32" s="558"/>
      <c r="R32" s="558"/>
      <c r="S32" s="558"/>
      <c r="T32" s="558"/>
      <c r="U32" s="558"/>
      <c r="V32" s="558"/>
    </row>
    <row r="33" spans="1:22" ht="14.4">
      <c r="A33" s="558"/>
      <c r="B33" s="558"/>
      <c r="C33" s="558"/>
      <c r="D33" s="558"/>
      <c r="E33" s="558"/>
      <c r="F33" s="558"/>
      <c r="G33" s="558"/>
      <c r="H33" s="558"/>
      <c r="I33" s="558"/>
      <c r="J33" s="558"/>
      <c r="K33" s="558"/>
      <c r="L33" s="558"/>
      <c r="M33" s="558"/>
      <c r="N33" s="558"/>
      <c r="O33" s="558"/>
      <c r="P33" s="558"/>
      <c r="Q33" s="558"/>
      <c r="R33" s="558"/>
      <c r="S33" s="558"/>
      <c r="T33" s="558"/>
      <c r="U33" s="558"/>
      <c r="V33" s="558"/>
    </row>
    <row r="34" spans="1:22" ht="16.8">
      <c r="A34" s="558"/>
      <c r="B34" s="845" t="s">
        <v>382</v>
      </c>
      <c r="C34" s="845"/>
      <c r="D34" s="845"/>
      <c r="E34" s="845"/>
      <c r="F34" s="845"/>
      <c r="G34" s="583"/>
      <c r="H34" s="845" t="s">
        <v>381</v>
      </c>
      <c r="I34" s="845"/>
      <c r="J34" s="845"/>
      <c r="K34" s="845"/>
      <c r="L34" s="845"/>
      <c r="M34" s="845"/>
      <c r="N34" s="845"/>
      <c r="O34" s="845"/>
      <c r="P34" s="558"/>
      <c r="Q34" s="558"/>
      <c r="R34" s="558"/>
      <c r="S34" s="558"/>
      <c r="T34" s="558"/>
      <c r="U34" s="558"/>
      <c r="V34" s="558"/>
    </row>
    <row r="35" spans="1:22">
      <c r="A35" s="558"/>
      <c r="B35" s="558"/>
      <c r="C35" s="558"/>
      <c r="D35" s="558"/>
      <c r="E35" s="558"/>
      <c r="F35" s="558"/>
      <c r="G35" s="558"/>
      <c r="H35" s="557"/>
      <c r="I35" s="557"/>
      <c r="J35" s="568"/>
      <c r="K35" s="558"/>
      <c r="L35" s="558"/>
      <c r="M35" s="558"/>
      <c r="N35" s="558"/>
      <c r="O35" s="558"/>
      <c r="P35" s="558"/>
      <c r="Q35" s="558"/>
      <c r="R35" s="558"/>
      <c r="S35" s="558"/>
      <c r="T35" s="558"/>
      <c r="U35" s="558"/>
      <c r="V35" s="558"/>
    </row>
    <row r="36" spans="1:22">
      <c r="A36" s="558"/>
      <c r="B36" s="576" t="s">
        <v>376</v>
      </c>
      <c r="C36" s="576"/>
      <c r="D36" s="576"/>
      <c r="E36" s="558"/>
      <c r="F36" s="558"/>
      <c r="G36" s="558"/>
      <c r="H36" s="576" t="s">
        <v>376</v>
      </c>
      <c r="I36" s="576"/>
      <c r="J36" s="576"/>
      <c r="K36" s="558"/>
      <c r="L36" s="558"/>
      <c r="M36" s="558"/>
      <c r="N36" s="558"/>
      <c r="O36" s="558"/>
      <c r="P36" s="558"/>
      <c r="Q36" s="558"/>
      <c r="R36" s="558"/>
      <c r="S36" s="558"/>
      <c r="T36" s="558"/>
      <c r="U36" s="558"/>
      <c r="V36" s="558"/>
    </row>
    <row r="37" spans="1:22">
      <c r="A37" s="558"/>
      <c r="B37" s="584" t="s">
        <v>543</v>
      </c>
      <c r="C37" s="695">
        <v>2</v>
      </c>
      <c r="D37" s="601" t="s">
        <v>375</v>
      </c>
      <c r="E37" s="558"/>
      <c r="F37" s="558"/>
      <c r="G37" s="558"/>
      <c r="H37" s="584" t="s">
        <v>543</v>
      </c>
      <c r="I37" s="695">
        <v>2</v>
      </c>
      <c r="J37" s="601" t="s">
        <v>375</v>
      </c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</row>
    <row r="38" spans="1:22">
      <c r="A38" s="558"/>
      <c r="B38" s="584" t="s">
        <v>374</v>
      </c>
      <c r="C38" s="695">
        <v>15</v>
      </c>
      <c r="D38" s="601" t="s">
        <v>385</v>
      </c>
      <c r="E38" s="558"/>
      <c r="F38" s="558"/>
      <c r="G38" s="558"/>
      <c r="H38" s="584" t="s">
        <v>374</v>
      </c>
      <c r="I38" s="695">
        <v>15</v>
      </c>
      <c r="J38" s="601" t="s">
        <v>385</v>
      </c>
      <c r="K38" s="558"/>
      <c r="L38" s="558"/>
      <c r="M38" s="558"/>
      <c r="N38" s="558"/>
      <c r="O38" s="558"/>
      <c r="P38" s="558"/>
      <c r="Q38" s="558"/>
      <c r="R38" s="558"/>
      <c r="S38" s="558"/>
      <c r="T38" s="558"/>
      <c r="U38" s="558"/>
      <c r="V38" s="558"/>
    </row>
    <row r="39" spans="1:22">
      <c r="A39" s="558"/>
      <c r="B39" s="584" t="s">
        <v>374</v>
      </c>
      <c r="C39" s="570">
        <f>RADIANS(C38)</f>
        <v>0.26179938779914941</v>
      </c>
      <c r="D39" s="563" t="s">
        <v>384</v>
      </c>
      <c r="E39" s="558"/>
      <c r="F39" s="558"/>
      <c r="G39" s="558"/>
      <c r="H39" s="584" t="s">
        <v>374</v>
      </c>
      <c r="I39" s="570">
        <f>RADIANS(I38)</f>
        <v>0.26179938779914941</v>
      </c>
      <c r="J39" s="563" t="s">
        <v>384</v>
      </c>
      <c r="K39" s="558"/>
      <c r="L39" s="558"/>
      <c r="M39" s="558"/>
      <c r="N39" s="558"/>
      <c r="O39" s="558"/>
      <c r="P39" s="558"/>
      <c r="Q39" s="558"/>
      <c r="R39" s="558"/>
      <c r="S39" s="558"/>
      <c r="T39" s="558"/>
      <c r="U39" s="558"/>
      <c r="V39" s="558"/>
    </row>
    <row r="40" spans="1:22">
      <c r="A40" s="558"/>
      <c r="B40" s="584" t="s">
        <v>17</v>
      </c>
      <c r="C40" s="696">
        <v>6</v>
      </c>
      <c r="D40" s="601" t="s">
        <v>266</v>
      </c>
      <c r="E40" s="558"/>
      <c r="F40" s="558"/>
      <c r="G40" s="558"/>
      <c r="H40" s="584" t="s">
        <v>17</v>
      </c>
      <c r="I40" s="696">
        <v>6</v>
      </c>
      <c r="J40" s="601" t="s">
        <v>266</v>
      </c>
      <c r="K40" s="558"/>
      <c r="L40" s="558"/>
      <c r="M40" s="558"/>
      <c r="N40" s="558"/>
      <c r="O40" s="558"/>
      <c r="P40" s="558"/>
      <c r="Q40" s="558"/>
      <c r="R40" s="558"/>
      <c r="S40" s="558"/>
      <c r="T40" s="558"/>
      <c r="U40" s="558"/>
      <c r="V40" s="558"/>
    </row>
    <row r="41" spans="1:22">
      <c r="A41" s="558"/>
      <c r="B41" s="584" t="s">
        <v>18</v>
      </c>
      <c r="C41" s="696">
        <v>12</v>
      </c>
      <c r="D41" s="601" t="s">
        <v>266</v>
      </c>
      <c r="E41" s="561"/>
      <c r="F41" s="572"/>
      <c r="G41" s="565"/>
      <c r="H41" s="584" t="s">
        <v>18</v>
      </c>
      <c r="I41" s="696">
        <v>12</v>
      </c>
      <c r="J41" s="601" t="s">
        <v>266</v>
      </c>
      <c r="K41" s="558"/>
      <c r="L41" s="558"/>
      <c r="M41" s="558"/>
      <c r="N41" s="558"/>
      <c r="O41" s="558"/>
      <c r="P41" s="558"/>
      <c r="Q41" s="558"/>
      <c r="R41" s="558"/>
      <c r="S41" s="558"/>
      <c r="T41" s="558"/>
      <c r="U41" s="558"/>
      <c r="V41" s="558"/>
    </row>
    <row r="42" spans="1:22">
      <c r="A42" s="558"/>
      <c r="B42" s="584" t="s">
        <v>544</v>
      </c>
      <c r="C42" s="695">
        <v>2</v>
      </c>
      <c r="D42" s="601" t="s">
        <v>265</v>
      </c>
      <c r="E42" s="558"/>
      <c r="F42" s="558"/>
      <c r="G42" s="558"/>
      <c r="H42" s="584" t="s">
        <v>544</v>
      </c>
      <c r="I42" s="695">
        <v>2</v>
      </c>
      <c r="J42" s="601" t="s">
        <v>265</v>
      </c>
      <c r="K42" s="558"/>
      <c r="L42" s="558"/>
      <c r="M42" s="558"/>
      <c r="N42" s="558"/>
      <c r="O42" s="558"/>
      <c r="P42" s="558"/>
      <c r="Q42" s="558"/>
      <c r="R42" s="558"/>
      <c r="S42" s="558"/>
      <c r="T42" s="558"/>
      <c r="U42" s="558"/>
      <c r="V42" s="558"/>
    </row>
    <row r="43" spans="1:22">
      <c r="A43" s="558"/>
      <c r="B43" s="584" t="s">
        <v>545</v>
      </c>
      <c r="C43" s="570">
        <f>0.25*C42</f>
        <v>0.5</v>
      </c>
      <c r="D43" s="563" t="s">
        <v>265</v>
      </c>
      <c r="E43" s="558"/>
      <c r="F43" s="558"/>
      <c r="G43" s="558"/>
      <c r="H43" s="584" t="s">
        <v>545</v>
      </c>
      <c r="I43" s="570">
        <f>0.25*I42</f>
        <v>0.5</v>
      </c>
      <c r="J43" s="563" t="s">
        <v>265</v>
      </c>
      <c r="K43" s="558"/>
      <c r="L43" s="558"/>
      <c r="M43" s="558"/>
      <c r="N43" s="558"/>
      <c r="O43" s="558"/>
      <c r="P43" s="558"/>
      <c r="Q43" s="558"/>
      <c r="R43" s="558"/>
      <c r="S43" s="558"/>
      <c r="T43" s="558"/>
      <c r="U43" s="558"/>
      <c r="V43" s="558"/>
    </row>
    <row r="44" spans="1:22">
      <c r="A44" s="558"/>
      <c r="B44" s="584" t="s">
        <v>546</v>
      </c>
      <c r="C44" s="570">
        <f>C42*C43/(C42*SIN(C39)^2+C43*COS(C39)^2)</f>
        <v>1.6653317723514118</v>
      </c>
      <c r="D44" s="563" t="s">
        <v>265</v>
      </c>
      <c r="E44" s="558"/>
      <c r="F44" s="558"/>
      <c r="G44" s="558"/>
      <c r="H44" s="585" t="s">
        <v>546</v>
      </c>
      <c r="I44" s="578">
        <f>I42*I43/(I42*SIN(I39)^2+I43*COS(I39)^2)</f>
        <v>1.6653317723514118</v>
      </c>
      <c r="J44" s="577" t="s">
        <v>265</v>
      </c>
      <c r="K44" s="558"/>
      <c r="L44" s="558"/>
      <c r="M44" s="558"/>
      <c r="N44" s="558"/>
      <c r="O44" s="558"/>
      <c r="P44" s="558"/>
      <c r="Q44" s="558"/>
      <c r="R44" s="558"/>
      <c r="S44" s="558"/>
      <c r="T44" s="558"/>
      <c r="U44" s="558"/>
      <c r="V44" s="558"/>
    </row>
    <row r="45" spans="1:22">
      <c r="A45" s="558"/>
      <c r="B45" s="844" t="s">
        <v>378</v>
      </c>
      <c r="C45" s="844"/>
      <c r="D45" s="844"/>
      <c r="E45" s="558"/>
      <c r="F45" s="558"/>
      <c r="G45" s="558"/>
      <c r="H45" s="844" t="s">
        <v>378</v>
      </c>
      <c r="I45" s="844"/>
      <c r="J45" s="844"/>
      <c r="K45" s="558"/>
      <c r="L45" s="558"/>
      <c r="M45" s="558"/>
      <c r="N45" s="558"/>
      <c r="O45" s="558"/>
      <c r="P45" s="558"/>
      <c r="Q45" s="558"/>
      <c r="R45" s="558"/>
      <c r="S45" s="558"/>
      <c r="T45" s="558"/>
      <c r="U45" s="558"/>
      <c r="V45" s="558"/>
    </row>
    <row r="46" spans="1:22">
      <c r="A46" s="558"/>
      <c r="B46" s="584" t="s">
        <v>25</v>
      </c>
      <c r="C46" s="570">
        <f>C37*COS(C39)/(C40*C44)</f>
        <v>0.19334001835265979</v>
      </c>
      <c r="D46" s="563" t="s">
        <v>266</v>
      </c>
      <c r="E46" s="561"/>
      <c r="F46" s="572"/>
      <c r="G46" s="565"/>
      <c r="H46" s="584" t="s">
        <v>25</v>
      </c>
      <c r="I46" s="570">
        <f>I37*COS(I39)/(I40*I44)</f>
        <v>0.19334001835265979</v>
      </c>
      <c r="J46" s="563" t="s">
        <v>266</v>
      </c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</row>
    <row r="47" spans="1:22">
      <c r="A47" s="558"/>
      <c r="B47" s="584" t="s">
        <v>547</v>
      </c>
      <c r="C47" s="569">
        <f>_xlfn.CEILING.MATH(C46,0.5)</f>
        <v>0.5</v>
      </c>
      <c r="D47" s="563" t="s">
        <v>266</v>
      </c>
      <c r="E47" s="561"/>
      <c r="F47" s="572"/>
      <c r="G47" s="565"/>
      <c r="H47" s="584" t="s">
        <v>555</v>
      </c>
      <c r="I47" s="569">
        <f>_xlfn.CEILING.MATH(I46,0.5)</f>
        <v>0.5</v>
      </c>
      <c r="J47" s="563" t="s">
        <v>266</v>
      </c>
      <c r="K47" s="558"/>
      <c r="L47" s="558"/>
      <c r="M47" s="558"/>
      <c r="N47" s="558"/>
      <c r="O47" s="558"/>
      <c r="P47" s="558"/>
      <c r="Q47" s="558"/>
      <c r="R47" s="558"/>
      <c r="S47" s="558"/>
      <c r="T47" s="558"/>
      <c r="U47" s="558"/>
      <c r="V47" s="558"/>
    </row>
    <row r="48" spans="1:22">
      <c r="A48" s="558"/>
      <c r="B48" s="584" t="s">
        <v>548</v>
      </c>
      <c r="C48" s="570">
        <f>C41/4</f>
        <v>3</v>
      </c>
      <c r="D48" s="563" t="s">
        <v>266</v>
      </c>
      <c r="E48" s="561"/>
      <c r="F48" s="572"/>
      <c r="G48" s="565"/>
      <c r="H48" s="584" t="s">
        <v>556</v>
      </c>
      <c r="I48" s="570">
        <f>I41/8</f>
        <v>1.5</v>
      </c>
      <c r="J48" s="563" t="s">
        <v>266</v>
      </c>
      <c r="K48" s="558"/>
      <c r="L48" s="558"/>
      <c r="M48" s="558"/>
      <c r="N48" s="558"/>
      <c r="O48" s="558"/>
      <c r="P48" s="558"/>
      <c r="Q48" s="558"/>
      <c r="R48" s="558"/>
      <c r="S48" s="558"/>
      <c r="T48" s="558"/>
      <c r="U48" s="558"/>
      <c r="V48" s="558"/>
    </row>
    <row r="49" spans="1:22">
      <c r="A49" s="558"/>
      <c r="B49" s="584" t="s">
        <v>549</v>
      </c>
      <c r="C49" s="570">
        <f>C41/8</f>
        <v>1.5</v>
      </c>
      <c r="D49" s="563" t="s">
        <v>266</v>
      </c>
      <c r="E49" s="561"/>
      <c r="F49" s="572"/>
      <c r="G49" s="565"/>
      <c r="H49" s="584" t="s">
        <v>557</v>
      </c>
      <c r="I49" s="570">
        <f>I41/16</f>
        <v>0.75</v>
      </c>
      <c r="J49" s="563" t="s">
        <v>266</v>
      </c>
      <c r="K49" s="558"/>
      <c r="L49" s="558"/>
      <c r="M49" s="558"/>
      <c r="N49" s="558"/>
      <c r="O49" s="558"/>
      <c r="P49" s="558"/>
      <c r="Q49" s="558"/>
      <c r="R49" s="558"/>
      <c r="S49" s="558"/>
      <c r="T49" s="558"/>
      <c r="U49" s="558"/>
      <c r="V49" s="558"/>
    </row>
    <row r="50" spans="1:22">
      <c r="A50" s="558"/>
      <c r="B50" s="584" t="s">
        <v>550</v>
      </c>
      <c r="C50" s="569">
        <f>IF(C48&lt;C47,C48,IF(C47&lt;C49,C49,C47))</f>
        <v>1.5</v>
      </c>
      <c r="D50" s="563" t="s">
        <v>266</v>
      </c>
      <c r="E50" s="561"/>
      <c r="F50" s="572"/>
      <c r="G50" s="565"/>
      <c r="H50" s="584" t="s">
        <v>558</v>
      </c>
      <c r="I50" s="569">
        <f>IF(I48&lt;I47,I48,IF(I47&lt;I49,I49,I47))</f>
        <v>0.75</v>
      </c>
      <c r="J50" s="563" t="s">
        <v>266</v>
      </c>
      <c r="K50" s="558"/>
      <c r="L50" s="558"/>
      <c r="M50" s="558"/>
      <c r="N50" s="558"/>
      <c r="O50" s="558"/>
      <c r="P50" s="558"/>
      <c r="Q50" s="558"/>
      <c r="R50" s="558"/>
      <c r="S50" s="558"/>
      <c r="T50" s="558"/>
      <c r="U50" s="558"/>
      <c r="V50" s="558"/>
    </row>
    <row r="51" spans="1:22">
      <c r="A51" s="558"/>
      <c r="B51" s="559" t="s">
        <v>377</v>
      </c>
      <c r="C51" s="842" t="str">
        <f>IF(C47&gt;C48,"Não Atende","Atende")</f>
        <v>Atende</v>
      </c>
      <c r="D51" s="842"/>
      <c r="E51" s="560"/>
      <c r="F51" s="571"/>
      <c r="G51" s="564"/>
      <c r="H51" s="559" t="s">
        <v>377</v>
      </c>
      <c r="I51" s="842" t="str">
        <f>IF(I47&gt;I48,"Não Atende","Atende")</f>
        <v>Atende</v>
      </c>
      <c r="J51" s="842"/>
      <c r="K51" s="562"/>
      <c r="L51" s="558"/>
      <c r="M51" s="558"/>
      <c r="N51" s="558"/>
      <c r="O51" s="558"/>
      <c r="P51" s="558"/>
      <c r="Q51" s="558"/>
      <c r="R51" s="558"/>
      <c r="S51" s="558"/>
      <c r="T51" s="558"/>
      <c r="U51" s="558"/>
      <c r="V51" s="558"/>
    </row>
    <row r="52" spans="1:22">
      <c r="A52" s="558"/>
      <c r="B52" s="558"/>
      <c r="C52" s="558"/>
      <c r="D52" s="558"/>
      <c r="E52" s="557"/>
      <c r="F52" s="568"/>
      <c r="G52" s="562"/>
      <c r="H52" s="557"/>
      <c r="I52" s="557"/>
      <c r="J52" s="568"/>
      <c r="K52" s="562"/>
      <c r="L52" s="558"/>
      <c r="M52" s="558"/>
      <c r="N52" s="558"/>
      <c r="O52" s="558"/>
      <c r="P52" s="558"/>
      <c r="Q52" s="558"/>
      <c r="R52" s="558"/>
      <c r="S52" s="558"/>
      <c r="T52" s="558"/>
      <c r="U52" s="558"/>
      <c r="V52" s="558"/>
    </row>
    <row r="53" spans="1:22">
      <c r="A53" s="558"/>
      <c r="B53" s="558"/>
      <c r="C53" s="558"/>
      <c r="D53" s="558"/>
      <c r="E53" s="557"/>
      <c r="F53" s="568"/>
      <c r="G53" s="562"/>
      <c r="H53" s="557"/>
      <c r="I53" s="557"/>
      <c r="J53" s="568"/>
      <c r="K53" s="562"/>
      <c r="L53" s="558"/>
      <c r="M53" s="558"/>
      <c r="N53" s="558"/>
      <c r="O53" s="558"/>
      <c r="P53" s="558"/>
      <c r="Q53" s="558"/>
      <c r="R53" s="558"/>
      <c r="S53" s="558"/>
      <c r="T53" s="558"/>
      <c r="U53" s="558"/>
      <c r="V53" s="558"/>
    </row>
    <row r="54" spans="1:22">
      <c r="A54" s="558"/>
      <c r="B54" s="558"/>
      <c r="C54" s="558"/>
      <c r="D54" s="558"/>
      <c r="E54" s="557"/>
      <c r="F54" s="568"/>
      <c r="G54" s="562"/>
      <c r="H54" s="557"/>
      <c r="I54" s="557"/>
      <c r="J54" s="568"/>
      <c r="K54" s="562"/>
      <c r="L54" s="558"/>
      <c r="M54" s="558"/>
      <c r="N54" s="558"/>
      <c r="O54" s="558"/>
      <c r="P54" s="558"/>
      <c r="Q54" s="558"/>
      <c r="R54" s="558"/>
      <c r="S54" s="558"/>
      <c r="T54" s="558"/>
      <c r="U54" s="558"/>
      <c r="V54" s="558"/>
    </row>
    <row r="55" spans="1:22">
      <c r="A55" s="558"/>
      <c r="B55" s="558"/>
      <c r="C55" s="558"/>
      <c r="D55" s="558"/>
      <c r="E55" s="557"/>
      <c r="F55" s="568"/>
      <c r="G55" s="562"/>
      <c r="H55" s="557"/>
      <c r="I55" s="557"/>
      <c r="J55" s="568"/>
      <c r="K55" s="562"/>
      <c r="L55" s="558"/>
      <c r="M55" s="558"/>
      <c r="N55" s="558"/>
      <c r="O55" s="558"/>
      <c r="P55" s="558"/>
      <c r="Q55" s="558"/>
      <c r="R55" s="558"/>
      <c r="S55" s="558"/>
      <c r="T55" s="558"/>
      <c r="U55" s="558"/>
      <c r="V55" s="558"/>
    </row>
    <row r="56" spans="1:22">
      <c r="A56" s="558"/>
      <c r="B56" s="558"/>
      <c r="C56" s="558"/>
      <c r="D56" s="558"/>
      <c r="E56" s="557"/>
      <c r="F56" s="568"/>
      <c r="G56" s="562"/>
      <c r="H56" s="557"/>
      <c r="I56" s="557"/>
      <c r="J56" s="568"/>
      <c r="K56" s="562"/>
      <c r="L56" s="558"/>
      <c r="M56" s="558"/>
      <c r="N56" s="558"/>
      <c r="O56" s="558"/>
      <c r="P56" s="558"/>
      <c r="Q56" s="558"/>
      <c r="R56" s="558"/>
      <c r="S56" s="558"/>
      <c r="T56" s="558"/>
      <c r="U56" s="558"/>
      <c r="V56" s="558"/>
    </row>
    <row r="57" spans="1:22">
      <c r="A57" s="558"/>
      <c r="B57" s="558"/>
      <c r="C57" s="558"/>
      <c r="D57" s="558"/>
      <c r="E57" s="557"/>
      <c r="F57" s="568"/>
      <c r="G57" s="562"/>
      <c r="H57" s="557"/>
      <c r="I57" s="557"/>
      <c r="J57" s="568"/>
      <c r="K57" s="562"/>
      <c r="L57" s="558"/>
      <c r="M57" s="558"/>
      <c r="N57" s="558"/>
      <c r="O57" s="558"/>
      <c r="P57" s="558"/>
      <c r="Q57" s="558"/>
      <c r="R57" s="558"/>
      <c r="S57" s="558"/>
      <c r="T57" s="558"/>
      <c r="U57" s="558"/>
      <c r="V57" s="558"/>
    </row>
    <row r="94" spans="8:14" hidden="1">
      <c r="H94" s="229"/>
      <c r="I94" s="229"/>
      <c r="J94" s="574"/>
    </row>
    <row r="95" spans="8:14" ht="16.2" hidden="1">
      <c r="H95" s="229"/>
      <c r="I95" s="229"/>
      <c r="N95"/>
    </row>
    <row r="96" spans="8:14" ht="16.2" hidden="1">
      <c r="H96" s="229"/>
      <c r="I96" s="229"/>
      <c r="N96"/>
    </row>
    <row r="97" spans="6:14" ht="16.2" hidden="1">
      <c r="F97" s="574"/>
      <c r="G97" s="567"/>
      <c r="H97" s="229"/>
      <c r="I97" s="229"/>
      <c r="N97"/>
    </row>
    <row r="98" spans="6:14" ht="16.2" hidden="1">
      <c r="F98" s="574"/>
      <c r="G98" s="567"/>
      <c r="H98" s="229"/>
      <c r="I98" s="229"/>
      <c r="N98"/>
    </row>
    <row r="99" spans="6:14" ht="16.2" hidden="1">
      <c r="H99" s="229"/>
      <c r="I99" s="229"/>
      <c r="J99" s="574"/>
      <c r="L99"/>
      <c r="M99"/>
      <c r="N99"/>
    </row>
    <row r="100" spans="6:14" ht="16.2" hidden="1">
      <c r="H100" s="229"/>
      <c r="I100" s="229"/>
      <c r="J100" s="574"/>
      <c r="L100"/>
      <c r="M100"/>
      <c r="N100"/>
    </row>
    <row r="101" spans="6:14" ht="16.2" hidden="1">
      <c r="H101" s="229"/>
      <c r="I101" s="229"/>
      <c r="J101" s="574"/>
      <c r="L101"/>
      <c r="M101"/>
      <c r="N101"/>
    </row>
    <row r="102" spans="6:14" ht="16.2" hidden="1">
      <c r="H102" s="229"/>
      <c r="I102" s="229"/>
      <c r="J102" s="574"/>
      <c r="L102"/>
      <c r="M102"/>
      <c r="N102"/>
    </row>
    <row r="103" spans="6:14" hidden="1">
      <c r="L103"/>
      <c r="M103"/>
      <c r="N103"/>
    </row>
    <row r="104" spans="6:14" hidden="1">
      <c r="L104"/>
      <c r="M104"/>
      <c r="N104"/>
    </row>
    <row r="105" spans="6:14" hidden="1">
      <c r="L105"/>
      <c r="M105"/>
      <c r="N105"/>
    </row>
    <row r="106" spans="6:14" hidden="1">
      <c r="L106"/>
      <c r="M106"/>
      <c r="N106"/>
    </row>
    <row r="107" spans="6:14" hidden="1">
      <c r="L107"/>
      <c r="M107"/>
      <c r="N107"/>
    </row>
    <row r="108" spans="6:14" hidden="1">
      <c r="L108"/>
      <c r="M108"/>
      <c r="N108"/>
    </row>
    <row r="109" spans="6:14" hidden="1">
      <c r="L109"/>
      <c r="M109"/>
      <c r="N109"/>
    </row>
    <row r="110" spans="6:14" hidden="1">
      <c r="L110"/>
      <c r="M110"/>
      <c r="N110"/>
    </row>
    <row r="111" spans="6:14" hidden="1">
      <c r="L111"/>
      <c r="M111"/>
      <c r="N111"/>
    </row>
    <row r="112" spans="6:14" hidden="1">
      <c r="L112"/>
      <c r="M112"/>
      <c r="N112"/>
    </row>
    <row r="113" spans="12:14" hidden="1">
      <c r="L113"/>
      <c r="M113"/>
      <c r="N113"/>
    </row>
    <row r="114" spans="12:14" hidden="1">
      <c r="L114"/>
      <c r="M114"/>
      <c r="N114"/>
    </row>
  </sheetData>
  <sheetProtection algorithmName="SHA-512" hashValue="tjYM4j8QOxBMc+yLcwHaw0Uo63KOBUH15ZIfTAOtmNSkJ0JNkQi6ziQCKsFlFgG58SsUvh7xUM1pcp1jJTNPZw==" saltValue="lda9pO9cuDCS3SkBqAhr/w==" spinCount="100000" sheet="1" objects="1" scenarios="1" selectLockedCells="1"/>
  <mergeCells count="16">
    <mergeCell ref="I51:J51"/>
    <mergeCell ref="C51:D51"/>
    <mergeCell ref="B9:F9"/>
    <mergeCell ref="H9:M9"/>
    <mergeCell ref="B11:D11"/>
    <mergeCell ref="H11:J11"/>
    <mergeCell ref="I26:J26"/>
    <mergeCell ref="C26:D26"/>
    <mergeCell ref="B20:D20"/>
    <mergeCell ref="H20:J20"/>
    <mergeCell ref="B27:D27"/>
    <mergeCell ref="H27:J27"/>
    <mergeCell ref="B45:D45"/>
    <mergeCell ref="H45:J45"/>
    <mergeCell ref="B34:F34"/>
    <mergeCell ref="H34:O34"/>
  </mergeCells>
  <conditionalFormatting sqref="C26 I26">
    <cfRule type="beginsWith" dxfId="3" priority="3" operator="beginsWith" text="Não Atende">
      <formula>LEFT(C26,LEN("Não Atende"))="Não Atende"</formula>
    </cfRule>
    <cfRule type="containsText" dxfId="2" priority="4" operator="containsText" text="Atende">
      <formula>NOT(ISERROR(SEARCH("Atende",C26)))</formula>
    </cfRule>
  </conditionalFormatting>
  <conditionalFormatting sqref="C51 I51">
    <cfRule type="beginsWith" dxfId="1" priority="1" operator="beginsWith" text="Não Atende">
      <formula>LEFT(C51,LEN("Não Atende"))="Não Atende"</formula>
    </cfRule>
    <cfRule type="containsText" dxfId="0" priority="2" operator="containsText" text="Atende">
      <formula>NOT(ISERROR(SEARCH("Atende",C51)))</formula>
    </cfRule>
  </conditionalFormatting>
  <dataValidations disablePrompts="1" count="1">
    <dataValidation type="list" allowBlank="1" showInputMessage="1" showErrorMessage="1" sqref="G95" xr:uid="{0BB51728-3627-4402-BEA2-541D99DB7F3E}"/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HOME</vt:lpstr>
      <vt:lpstr>DSB</vt:lpstr>
      <vt:lpstr>RST</vt:lpstr>
      <vt:lpstr>CRG</vt:lpstr>
      <vt:lpstr>CMB</vt:lpstr>
      <vt:lpstr>VRF</vt:lpstr>
      <vt:lpstr>LGC</vt:lpstr>
      <vt:lpstr>AXA</vt:lpstr>
      <vt:lpstr>AXB</vt:lpstr>
      <vt:lpstr>AXC</vt:lpstr>
      <vt:lpstr>AXD</vt:lpstr>
      <vt:lpstr>LGC A</vt:lpstr>
      <vt:lpstr>HOME!Imagem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Ismar</dc:creator>
  <cp:lastModifiedBy>Eduardo Torres</cp:lastModifiedBy>
  <cp:lastPrinted>2023-03-19T19:36:33Z</cp:lastPrinted>
  <dcterms:created xsi:type="dcterms:W3CDTF">2021-12-27T19:43:10Z</dcterms:created>
  <dcterms:modified xsi:type="dcterms:W3CDTF">2026-10-13T00:17:09Z</dcterms:modified>
</cp:coreProperties>
</file>